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\Desktop\"/>
    </mc:Choice>
  </mc:AlternateContent>
  <xr:revisionPtr revIDLastSave="0" documentId="13_ncr:1_{6612DE83-50F1-45ED-A656-673ADD4BBDB0}" xr6:coauthVersionLast="47" xr6:coauthVersionMax="47" xr10:uidLastSave="{00000000-0000-0000-0000-000000000000}"/>
  <bookViews>
    <workbookView xWindow="31065" yWindow="0" windowWidth="21240" windowHeight="15600" tabRatio="877" firstSheet="2" activeTab="2" xr2:uid="{00000000-000D-0000-FFFF-FFFF00000000}"/>
  </bookViews>
  <sheets>
    <sheet name="표지" sheetId="173" state="hidden" r:id="rId1"/>
    <sheet name="출근대장" sheetId="176" state="hidden" r:id="rId2"/>
    <sheet name="근로계약서" sheetId="204" r:id="rId3"/>
    <sheet name="근로계약서(일급제)" sheetId="201" state="hidden" r:id="rId4"/>
    <sheet name="근로계약서(시급제)" sheetId="202" state="hidden" r:id="rId5"/>
    <sheet name="급여명세서(시급제)" sheetId="194" state="hidden" r:id="rId6"/>
    <sheet name="일용직 신고대장" sheetId="184" state="hidden" r:id="rId7"/>
    <sheet name="간이세액표" sheetId="135" state="hidden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Order1" hidden="1">255</definedName>
    <definedName name="_Order2" hidden="1">255</definedName>
    <definedName name="AccessDatabase" hidden="1">"c:\wiz32\xl\acclink.mdb"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_xlnm.Print_Area" localSheetId="2">근로계약서!$B$1:$Q$39</definedName>
    <definedName name="_xlnm.Print_Area" localSheetId="4">'근로계약서(시급제)'!$B$1:$Q$156</definedName>
    <definedName name="_xlnm.Print_Area" localSheetId="3">'근로계약서(일급제)'!$B$1:$Q$82</definedName>
    <definedName name="_xlnm.Print_Area" localSheetId="5">'급여명세서(시급제)'!$A$1:$N$43</definedName>
    <definedName name="_xlnm.Print_Area" localSheetId="6">'일용직 신고대장'!$B$1:$AN$30</definedName>
    <definedName name="_xlnm.Print_Area" localSheetId="1">출근대장!$A$1:$AK$95</definedName>
    <definedName name="_xlnm.Print_Area" localSheetId="0">표지!$A$1:$J$33</definedName>
    <definedName name="_xlnm.Print_Titles" localSheetId="6">'일용직 신고대장'!$1:$6</definedName>
    <definedName name="_xlnm.Print_Titles" localSheetId="1">출근대장!$1:$5</definedName>
    <definedName name="급여">[1]급여자료!$A$4:$X$28</definedName>
    <definedName name="급여대장" localSheetId="2">[2]명세서자료!$C$5:$Y$14</definedName>
    <definedName name="급여대장" localSheetId="4">[2]명세서자료!$C$5:$Y$14</definedName>
    <definedName name="급여대장" localSheetId="3">[2]명세서자료!$C$5:$Y$14</definedName>
    <definedName name="급여대장" localSheetId="6">[2]명세서자료!$C$5:$Y$14</definedName>
    <definedName name="급여대장">[3]명세서자료!$C$5:$Y$14</definedName>
    <definedName name="기본세율">[4]사업소득자세수추계!$A$58:$B$61</definedName>
    <definedName name="사원정보">'[5]급여대장(입력용)'!$A$8:$BG$87</definedName>
    <definedName name="성명" localSheetId="2">[2]명세서자료!$C$5:$C$54</definedName>
    <definedName name="성명" localSheetId="4">[2]명세서자료!$C$5:$C$54</definedName>
    <definedName name="성명" localSheetId="3">[2]명세서자료!$C$5:$C$54</definedName>
    <definedName name="성명" localSheetId="6">[2]명세서자료!$C$5:$C$54</definedName>
    <definedName name="성명">[3]명세서자료!$C$5:$C$54</definedName>
    <definedName name="성명확인">OFFSET([5]성명데이터!$B$2,0,0,COUNTA([5]성명데이터!$B$2:$B$21)-COUNTIF([5]성명데이터!$B$2:$B$21,""),1)</definedName>
    <definedName name="순번">[1]급여자료!$A$4:$A$28</definedName>
    <definedName name="ㅇㅇㅇ">[2]명세서자료!$C$5:$Y$14</definedName>
    <definedName name="이름" localSheetId="2">[2]명세서자료!$C$5:$C$14</definedName>
    <definedName name="이름" localSheetId="4">[2]명세서자료!$C$5:$C$14</definedName>
    <definedName name="이름" localSheetId="3">[2]명세서자료!$C$5:$C$14</definedName>
    <definedName name="이름" localSheetId="6">[2]명세서자료!$C$5:$C$14</definedName>
    <definedName name="이름">[3]명세서자료!$C$5:$C$14</definedName>
    <definedName name="임금대장">[3]명세서자료!$C$5:$Y$14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4" i="204" l="1"/>
  <c r="H13" i="204"/>
  <c r="C154" i="202" l="1"/>
  <c r="C76" i="202"/>
  <c r="A80" i="202" l="1"/>
  <c r="C153" i="202"/>
  <c r="C155" i="202" s="1"/>
  <c r="P100" i="202"/>
  <c r="L100" i="202"/>
  <c r="E100" i="202"/>
  <c r="O94" i="202"/>
  <c r="F84" i="202"/>
  <c r="C82" i="202"/>
  <c r="E22" i="202"/>
  <c r="L22" i="202" l="1"/>
  <c r="P22" i="202" s="1"/>
  <c r="K15" i="202" l="1"/>
  <c r="K14" i="202"/>
  <c r="H14" i="202"/>
  <c r="R4" i="202"/>
  <c r="R4" i="201"/>
  <c r="H4" i="202"/>
  <c r="C75" i="202"/>
  <c r="C77" i="202" s="1"/>
  <c r="O16" i="202"/>
  <c r="I15" i="202"/>
  <c r="H15" i="202"/>
  <c r="I14" i="202"/>
  <c r="F6" i="202"/>
  <c r="C4" i="202"/>
  <c r="C79" i="201"/>
  <c r="C81" i="201" s="1"/>
  <c r="F9" i="202" l="1"/>
  <c r="E40" i="202"/>
  <c r="K15" i="201"/>
  <c r="I15" i="201"/>
  <c r="H15" i="201"/>
  <c r="K14" i="201"/>
  <c r="I14" i="201"/>
  <c r="H14" i="201"/>
  <c r="F6" i="201"/>
  <c r="H4" i="201"/>
  <c r="K81" i="201" s="1"/>
  <c r="C4" i="201"/>
  <c r="K77" i="202"/>
  <c r="AD11" i="201"/>
  <c r="S11" i="201"/>
  <c r="AC10" i="201"/>
  <c r="AD10" i="201" s="1"/>
  <c r="U6" i="201"/>
  <c r="Z2" i="201"/>
  <c r="V6" i="201" s="1"/>
  <c r="W2" i="201"/>
  <c r="T6" i="201" s="1"/>
  <c r="J15" i="202"/>
  <c r="J15" i="201" l="1"/>
  <c r="W4" i="201"/>
  <c r="AA6" i="201"/>
  <c r="T10" i="201" s="1"/>
  <c r="V10" i="201" s="1"/>
  <c r="S12" i="201"/>
  <c r="Z4" i="201"/>
  <c r="T11" i="201" l="1"/>
  <c r="P29" i="201" s="1"/>
  <c r="Y10" i="201"/>
  <c r="AC11" i="201"/>
  <c r="X10" i="201"/>
  <c r="W10" i="201"/>
  <c r="U10" i="201"/>
  <c r="AB10" i="201" s="1"/>
  <c r="T12" i="201"/>
  <c r="S13" i="201"/>
  <c r="V11" i="201"/>
  <c r="K33" i="201" s="1"/>
  <c r="Y11" i="201"/>
  <c r="U11" i="201"/>
  <c r="X11" i="201"/>
  <c r="W11" i="201"/>
  <c r="Z10" i="201" l="1"/>
  <c r="AA10" i="201" s="1"/>
  <c r="Z11" i="201"/>
  <c r="AA11" i="201" s="1"/>
  <c r="AB11" i="201"/>
  <c r="G33" i="201"/>
  <c r="S14" i="201"/>
  <c r="T13" i="201"/>
  <c r="Y12" i="201"/>
  <c r="U12" i="201"/>
  <c r="X12" i="201"/>
  <c r="W12" i="201"/>
  <c r="V12" i="201"/>
  <c r="V13" i="201" l="1"/>
  <c r="Y13" i="201"/>
  <c r="U13" i="201"/>
  <c r="W13" i="201"/>
  <c r="X13" i="201"/>
  <c r="S15" i="201"/>
  <c r="T14" i="201"/>
  <c r="AB12" i="201"/>
  <c r="Z12" i="201"/>
  <c r="AA12" i="201" s="1"/>
  <c r="Z13" i="201" l="1"/>
  <c r="AA13" i="201" s="1"/>
  <c r="AB13" i="201"/>
  <c r="T15" i="201"/>
  <c r="S16" i="201"/>
  <c r="W14" i="201"/>
  <c r="X14" i="201"/>
  <c r="V14" i="201"/>
  <c r="Y14" i="201"/>
  <c r="U14" i="201"/>
  <c r="J14" i="202" l="1"/>
  <c r="J14" i="201"/>
  <c r="S17" i="201"/>
  <c r="T16" i="201"/>
  <c r="X15" i="201"/>
  <c r="U15" i="201"/>
  <c r="W15" i="201"/>
  <c r="Y15" i="201"/>
  <c r="V15" i="201"/>
  <c r="Z14" i="201"/>
  <c r="AA14" i="201" s="1"/>
  <c r="AB14" i="201"/>
  <c r="AB15" i="201" l="1"/>
  <c r="Z15" i="201"/>
  <c r="AA15" i="201" s="1"/>
  <c r="V16" i="201"/>
  <c r="Y16" i="201"/>
  <c r="U16" i="201"/>
  <c r="W16" i="201"/>
  <c r="X16" i="201"/>
  <c r="T17" i="201"/>
  <c r="S18" i="201"/>
  <c r="X17" i="201" l="1"/>
  <c r="W17" i="201"/>
  <c r="U17" i="201"/>
  <c r="V17" i="201"/>
  <c r="Y17" i="201"/>
  <c r="S19" i="201"/>
  <c r="T18" i="201"/>
  <c r="Z16" i="201"/>
  <c r="AA16" i="201" s="1"/>
  <c r="AB16" i="201"/>
  <c r="AB17" i="201" l="1"/>
  <c r="Z17" i="201"/>
  <c r="AA17" i="201" s="1"/>
  <c r="V18" i="201"/>
  <c r="Y18" i="201"/>
  <c r="U18" i="201"/>
  <c r="W18" i="201"/>
  <c r="X18" i="201"/>
  <c r="T19" i="201"/>
  <c r="S20" i="201"/>
  <c r="X19" i="201" l="1"/>
  <c r="Y19" i="201"/>
  <c r="W19" i="201"/>
  <c r="U19" i="201"/>
  <c r="V19" i="201"/>
  <c r="S21" i="201"/>
  <c r="T20" i="201"/>
  <c r="Z18" i="201"/>
  <c r="AA18" i="201" s="1"/>
  <c r="AB18" i="201"/>
  <c r="AB19" i="201" l="1"/>
  <c r="Z19" i="201"/>
  <c r="AA19" i="201" s="1"/>
  <c r="V20" i="201"/>
  <c r="Y20" i="201"/>
  <c r="U20" i="201"/>
  <c r="W20" i="201"/>
  <c r="X20" i="201"/>
  <c r="T21" i="201"/>
  <c r="S22" i="201"/>
  <c r="X21" i="201" l="1"/>
  <c r="Y21" i="201"/>
  <c r="W21" i="201"/>
  <c r="U21" i="201"/>
  <c r="V21" i="201"/>
  <c r="S23" i="201"/>
  <c r="T22" i="201"/>
  <c r="Z20" i="201"/>
  <c r="AA20" i="201" s="1"/>
  <c r="AB20" i="201"/>
  <c r="V22" i="201" l="1"/>
  <c r="W22" i="201"/>
  <c r="Y22" i="201"/>
  <c r="U22" i="201"/>
  <c r="X22" i="201"/>
  <c r="T23" i="201"/>
  <c r="S24" i="201"/>
  <c r="T24" i="201" s="1"/>
  <c r="AB21" i="201"/>
  <c r="Z21" i="201"/>
  <c r="AA21" i="201" s="1"/>
  <c r="Z22" i="201" l="1"/>
  <c r="AA22" i="201" s="1"/>
  <c r="AB22" i="201"/>
  <c r="V24" i="201"/>
  <c r="Y24" i="201"/>
  <c r="U24" i="201"/>
  <c r="W24" i="201"/>
  <c r="X24" i="201"/>
  <c r="X23" i="201"/>
  <c r="U23" i="201"/>
  <c r="W23" i="201"/>
  <c r="Y23" i="201"/>
  <c r="V23" i="201"/>
  <c r="AB23" i="201" l="1"/>
  <c r="Z23" i="201"/>
  <c r="AA23" i="201" s="1"/>
  <c r="Z24" i="201"/>
  <c r="AA24" i="201" s="1"/>
  <c r="AB24" i="201"/>
  <c r="R82" i="202" l="1"/>
  <c r="H82" i="202"/>
  <c r="I92" i="202"/>
  <c r="I93" i="202"/>
  <c r="K92" i="202"/>
  <c r="K93" i="202"/>
  <c r="H93" i="202"/>
  <c r="J93" i="202"/>
  <c r="J92" i="202"/>
  <c r="H92" i="202"/>
  <c r="E33" i="202"/>
  <c r="E111" i="202"/>
  <c r="E118" i="202" l="1"/>
  <c r="K155" i="202"/>
  <c r="F87" i="202"/>
  <c r="L86" i="194" l="1"/>
  <c r="J83" i="194"/>
  <c r="I80" i="194"/>
  <c r="I77" i="194"/>
  <c r="N76" i="194"/>
  <c r="M76" i="194"/>
  <c r="L76" i="194"/>
  <c r="K76" i="194"/>
  <c r="N75" i="194"/>
  <c r="N74" i="194"/>
  <c r="M73" i="194"/>
  <c r="M72" i="194"/>
  <c r="M71" i="194"/>
  <c r="M70" i="194"/>
  <c r="M69" i="194"/>
  <c r="I68" i="194"/>
  <c r="L44" i="194"/>
  <c r="AO133" i="176" l="1"/>
  <c r="AR132" i="176"/>
  <c r="AQ132" i="176"/>
  <c r="AP132" i="176"/>
  <c r="AO132" i="176"/>
  <c r="AN132" i="176"/>
  <c r="AM132" i="176"/>
  <c r="AL132" i="176"/>
  <c r="AR124" i="176"/>
  <c r="AQ124" i="176"/>
  <c r="AP124" i="176"/>
  <c r="AO124" i="176"/>
  <c r="AN124" i="176"/>
  <c r="AM124" i="176"/>
  <c r="AL124" i="176"/>
  <c r="AR123" i="176"/>
  <c r="AQ123" i="176"/>
  <c r="AP123" i="176"/>
  <c r="AO123" i="176"/>
  <c r="AN123" i="176"/>
  <c r="AM123" i="176"/>
  <c r="AL123" i="176"/>
  <c r="AR115" i="176"/>
  <c r="AQ115" i="176"/>
  <c r="AP115" i="176"/>
  <c r="AO115" i="176"/>
  <c r="AN115" i="176"/>
  <c r="AM115" i="176"/>
  <c r="AL115" i="176"/>
  <c r="AR114" i="176"/>
  <c r="AQ114" i="176"/>
  <c r="AP114" i="176"/>
  <c r="AO114" i="176"/>
  <c r="AN114" i="176"/>
  <c r="AM114" i="176"/>
  <c r="AL114" i="176"/>
  <c r="AR106" i="176"/>
  <c r="AQ106" i="176"/>
  <c r="AP106" i="176"/>
  <c r="AO106" i="176"/>
  <c r="AN106" i="176"/>
  <c r="AM106" i="176"/>
  <c r="AL106" i="176"/>
  <c r="AR105" i="176"/>
  <c r="AQ105" i="176"/>
  <c r="AP105" i="176"/>
  <c r="AO105" i="176"/>
  <c r="AN105" i="176"/>
  <c r="AM105" i="176"/>
  <c r="AL105" i="176"/>
  <c r="AR97" i="176"/>
  <c r="AQ97" i="176"/>
  <c r="AP97" i="176"/>
  <c r="AO97" i="176"/>
  <c r="AN97" i="176"/>
  <c r="AM97" i="176"/>
  <c r="AL97" i="176"/>
  <c r="AR96" i="176"/>
  <c r="AQ96" i="176"/>
  <c r="AP96" i="176"/>
  <c r="AO96" i="176"/>
  <c r="AN96" i="176"/>
  <c r="AM96" i="176"/>
  <c r="AL96" i="176"/>
  <c r="AR88" i="176"/>
  <c r="AQ88" i="176"/>
  <c r="AP88" i="176"/>
  <c r="AO88" i="176"/>
  <c r="AN88" i="176"/>
  <c r="AM88" i="176"/>
  <c r="AL88" i="176"/>
  <c r="AR87" i="176"/>
  <c r="AQ87" i="176"/>
  <c r="AP87" i="176"/>
  <c r="AO87" i="176"/>
  <c r="AN87" i="176"/>
  <c r="AM87" i="176"/>
  <c r="AL87" i="176"/>
  <c r="AR79" i="176"/>
  <c r="AQ79" i="176"/>
  <c r="AP79" i="176"/>
  <c r="AO79" i="176"/>
  <c r="AN79" i="176"/>
  <c r="AM79" i="176"/>
  <c r="AL79" i="176"/>
  <c r="AR78" i="176"/>
  <c r="AQ78" i="176"/>
  <c r="AP78" i="176"/>
  <c r="AO78" i="176"/>
  <c r="AN78" i="176"/>
  <c r="AM78" i="176"/>
  <c r="AL78" i="176"/>
  <c r="AR70" i="176"/>
  <c r="AQ70" i="176"/>
  <c r="AP70" i="176"/>
  <c r="AO70" i="176"/>
  <c r="AN70" i="176"/>
  <c r="AM70" i="176"/>
  <c r="AL70" i="176"/>
  <c r="AR69" i="176"/>
  <c r="AQ69" i="176"/>
  <c r="AP69" i="176"/>
  <c r="AO69" i="176"/>
  <c r="AN69" i="176"/>
  <c r="AM69" i="176"/>
  <c r="AL69" i="176"/>
  <c r="AR61" i="176"/>
  <c r="AQ61" i="176"/>
  <c r="AP61" i="176"/>
  <c r="AO61" i="176"/>
  <c r="AN61" i="176"/>
  <c r="AM61" i="176"/>
  <c r="AL61" i="176"/>
  <c r="AR60" i="176"/>
  <c r="AQ60" i="176"/>
  <c r="AP60" i="176"/>
  <c r="AO60" i="176"/>
  <c r="AN60" i="176"/>
  <c r="AM60" i="176"/>
  <c r="AL60" i="176"/>
  <c r="AR52" i="176"/>
  <c r="AQ52" i="176"/>
  <c r="AP52" i="176"/>
  <c r="AO52" i="176"/>
  <c r="AN52" i="176"/>
  <c r="AM52" i="176"/>
  <c r="AL52" i="176"/>
  <c r="AR51" i="176"/>
  <c r="AQ51" i="176"/>
  <c r="AP51" i="176"/>
  <c r="AO51" i="176"/>
  <c r="AN51" i="176"/>
  <c r="AM51" i="176"/>
  <c r="AL51" i="176"/>
  <c r="AR43" i="176"/>
  <c r="AQ43" i="176"/>
  <c r="AP43" i="176"/>
  <c r="AO43" i="176"/>
  <c r="AN43" i="176"/>
  <c r="AM43" i="176"/>
  <c r="AL43" i="176"/>
  <c r="AR42" i="176"/>
  <c r="AQ42" i="176"/>
  <c r="AP42" i="176"/>
  <c r="AO42" i="176"/>
  <c r="AN42" i="176"/>
  <c r="AM42" i="176"/>
  <c r="AL42" i="176"/>
  <c r="AR34" i="176"/>
  <c r="AQ34" i="176"/>
  <c r="AP34" i="176"/>
  <c r="AO34" i="176"/>
  <c r="AN34" i="176"/>
  <c r="AM34" i="176"/>
  <c r="AL34" i="176"/>
  <c r="AR33" i="176"/>
  <c r="AQ33" i="176"/>
  <c r="AP33" i="176"/>
  <c r="AO33" i="176"/>
  <c r="AN33" i="176"/>
  <c r="AM33" i="176"/>
  <c r="AL33" i="176"/>
  <c r="AR25" i="176"/>
  <c r="AQ25" i="176"/>
  <c r="AP25" i="176"/>
  <c r="AO25" i="176"/>
  <c r="AN25" i="176"/>
  <c r="AM25" i="176"/>
  <c r="AL25" i="176"/>
  <c r="AR24" i="176"/>
  <c r="AQ24" i="176"/>
  <c r="AP24" i="176"/>
  <c r="AO24" i="176"/>
  <c r="AN24" i="176"/>
  <c r="AM24" i="176"/>
  <c r="AL24" i="176"/>
  <c r="AR16" i="176"/>
  <c r="AQ16" i="176"/>
  <c r="AP16" i="176"/>
  <c r="AO16" i="176"/>
  <c r="AN16" i="176"/>
  <c r="AM16" i="176"/>
  <c r="AL16" i="176"/>
  <c r="AR15" i="176"/>
  <c r="AQ15" i="176"/>
  <c r="AP15" i="176"/>
  <c r="AO15" i="176"/>
  <c r="AN15" i="176"/>
  <c r="AM15" i="176"/>
  <c r="AL15" i="176"/>
  <c r="AI140" i="176"/>
  <c r="AJ140" i="176" s="1"/>
  <c r="AI139" i="176"/>
  <c r="AJ139" i="176" s="1"/>
  <c r="AI138" i="176"/>
  <c r="AJ138" i="176" s="1"/>
  <c r="AI137" i="176"/>
  <c r="AJ137" i="176" s="1"/>
  <c r="AI136" i="176"/>
  <c r="AJ136" i="176" s="1"/>
  <c r="AI135" i="176"/>
  <c r="AJ135" i="176" s="1"/>
  <c r="AI134" i="176"/>
  <c r="AJ134" i="176" s="1"/>
  <c r="AK132" i="176"/>
  <c r="A132" i="176"/>
  <c r="AI131" i="176"/>
  <c r="AJ131" i="176" s="1"/>
  <c r="AI130" i="176"/>
  <c r="AJ130" i="176" s="1"/>
  <c r="AI129" i="176"/>
  <c r="AJ129" i="176" s="1"/>
  <c r="AI128" i="176"/>
  <c r="AJ128" i="176" s="1"/>
  <c r="AI127" i="176"/>
  <c r="AJ127" i="176" s="1"/>
  <c r="AI126" i="176"/>
  <c r="AJ126" i="176" s="1"/>
  <c r="AJ125" i="176"/>
  <c r="AI125" i="176"/>
  <c r="AK123" i="176"/>
  <c r="A123" i="176"/>
  <c r="AI122" i="176"/>
  <c r="AJ122" i="176" s="1"/>
  <c r="AI121" i="176"/>
  <c r="AJ121" i="176" s="1"/>
  <c r="AI120" i="176"/>
  <c r="AJ120" i="176" s="1"/>
  <c r="AI119" i="176"/>
  <c r="AJ119" i="176" s="1"/>
  <c r="AI118" i="176"/>
  <c r="AJ118" i="176" s="1"/>
  <c r="AI117" i="176"/>
  <c r="AJ117" i="176" s="1"/>
  <c r="AJ116" i="176"/>
  <c r="AI116" i="176"/>
  <c r="AK114" i="176"/>
  <c r="A114" i="176"/>
  <c r="AI113" i="176"/>
  <c r="AJ113" i="176" s="1"/>
  <c r="AI112" i="176"/>
  <c r="AJ112" i="176" s="1"/>
  <c r="AI111" i="176"/>
  <c r="AJ111" i="176" s="1"/>
  <c r="AI110" i="176"/>
  <c r="AJ110" i="176" s="1"/>
  <c r="AI109" i="176"/>
  <c r="AJ109" i="176" s="1"/>
  <c r="AI108" i="176"/>
  <c r="AJ108" i="176" s="1"/>
  <c r="AJ107" i="176"/>
  <c r="AI107" i="176"/>
  <c r="AK105" i="176"/>
  <c r="A105" i="176"/>
  <c r="AI104" i="176"/>
  <c r="AJ104" i="176" s="1"/>
  <c r="AI103" i="176"/>
  <c r="AJ103" i="176" s="1"/>
  <c r="AI102" i="176"/>
  <c r="AJ102" i="176" s="1"/>
  <c r="AI101" i="176"/>
  <c r="AJ101" i="176" s="1"/>
  <c r="AI100" i="176"/>
  <c r="AJ100" i="176" s="1"/>
  <c r="AI99" i="176"/>
  <c r="AJ99" i="176" s="1"/>
  <c r="AI98" i="176"/>
  <c r="AJ98" i="176" s="1"/>
  <c r="AK96" i="176"/>
  <c r="A96" i="176"/>
  <c r="AL133" i="176" l="1"/>
  <c r="AP133" i="176"/>
  <c r="AM133" i="176"/>
  <c r="AQ133" i="176"/>
  <c r="AN133" i="176"/>
  <c r="AR133" i="176"/>
  <c r="L43" i="194"/>
  <c r="J40" i="194"/>
  <c r="I37" i="194"/>
  <c r="I34" i="194"/>
  <c r="N33" i="194"/>
  <c r="M33" i="194"/>
  <c r="L33" i="194"/>
  <c r="K33" i="194"/>
  <c r="N32" i="194"/>
  <c r="N31" i="194"/>
  <c r="M30" i="194"/>
  <c r="M29" i="194"/>
  <c r="M28" i="194"/>
  <c r="M27" i="194"/>
  <c r="I25" i="194"/>
  <c r="L1" i="194"/>
  <c r="AI14" i="176"/>
  <c r="AI13" i="176"/>
  <c r="AI12" i="176"/>
  <c r="AI11" i="176"/>
  <c r="AI10" i="176"/>
  <c r="AI9" i="176"/>
  <c r="AI8" i="176"/>
  <c r="AP11" i="184" l="1"/>
  <c r="AP9" i="184"/>
  <c r="AP7" i="184"/>
  <c r="AO12" i="184"/>
  <c r="AO10" i="184"/>
  <c r="AO8" i="184"/>
  <c r="AO7" i="184"/>
  <c r="AO9" i="184"/>
  <c r="AO11" i="184"/>
  <c r="AJ7" i="184"/>
  <c r="AC2" i="184"/>
  <c r="C2" i="184"/>
  <c r="AP37" i="184"/>
  <c r="AT33" i="184"/>
  <c r="AT34" i="184"/>
  <c r="AT35" i="184"/>
  <c r="AT36" i="184"/>
  <c r="AL30" i="184"/>
  <c r="Z7" i="184"/>
  <c r="AE7" i="184"/>
  <c r="A9" i="184"/>
  <c r="Z9" i="184"/>
  <c r="AE9" i="184"/>
  <c r="AJ9" i="184"/>
  <c r="A11" i="184"/>
  <c r="Z11" i="184"/>
  <c r="AE11" i="184"/>
  <c r="A13" i="184"/>
  <c r="AJ29" i="184"/>
  <c r="AE29" i="184"/>
  <c r="AD29" i="184"/>
  <c r="A15" i="184"/>
  <c r="A17" i="184"/>
  <c r="A19" i="184"/>
  <c r="A21" i="184"/>
  <c r="A23" i="184"/>
  <c r="A25" i="184"/>
  <c r="A27" i="184"/>
  <c r="P657" i="135"/>
  <c r="W1" i="176"/>
  <c r="D4" i="176" s="1"/>
  <c r="B9" i="176"/>
  <c r="B8" i="176"/>
  <c r="B7" i="176"/>
  <c r="B6" i="176"/>
  <c r="AI95" i="176"/>
  <c r="AJ95" i="176"/>
  <c r="AI94" i="176"/>
  <c r="AJ94" i="176"/>
  <c r="AI93" i="176"/>
  <c r="AJ93" i="176"/>
  <c r="AI92" i="176"/>
  <c r="AJ92" i="176"/>
  <c r="AI91" i="176"/>
  <c r="AJ91" i="176"/>
  <c r="AJ90" i="176"/>
  <c r="AI90" i="176"/>
  <c r="AI89" i="176"/>
  <c r="AJ89" i="176"/>
  <c r="AK87" i="176"/>
  <c r="AI86" i="176"/>
  <c r="AJ86" i="176"/>
  <c r="AJ85" i="176"/>
  <c r="AI85" i="176"/>
  <c r="AI84" i="176"/>
  <c r="AJ84" i="176"/>
  <c r="AI83" i="176"/>
  <c r="AJ83" i="176"/>
  <c r="AI82" i="176"/>
  <c r="AJ82" i="176"/>
  <c r="AI81" i="176"/>
  <c r="AJ81" i="176"/>
  <c r="AI80" i="176"/>
  <c r="AJ80" i="176"/>
  <c r="AK78" i="176"/>
  <c r="AI77" i="176"/>
  <c r="AJ77" i="176"/>
  <c r="AI76" i="176"/>
  <c r="AJ76" i="176"/>
  <c r="AI75" i="176"/>
  <c r="AJ75" i="176"/>
  <c r="AI74" i="176"/>
  <c r="AJ74" i="176"/>
  <c r="AI73" i="176"/>
  <c r="AJ73" i="176"/>
  <c r="AJ72" i="176"/>
  <c r="AI72" i="176"/>
  <c r="AI71" i="176"/>
  <c r="AJ71" i="176"/>
  <c r="AK69" i="176"/>
  <c r="AI68" i="176"/>
  <c r="AJ68" i="176"/>
  <c r="AJ67" i="176"/>
  <c r="AI67" i="176"/>
  <c r="AI66" i="176"/>
  <c r="AJ66" i="176"/>
  <c r="AI65" i="176"/>
  <c r="AJ65" i="176"/>
  <c r="AI64" i="176"/>
  <c r="AJ64" i="176"/>
  <c r="AI63" i="176"/>
  <c r="AJ63" i="176"/>
  <c r="AI62" i="176"/>
  <c r="AJ62" i="176"/>
  <c r="AK60" i="176"/>
  <c r="AI59" i="176"/>
  <c r="AJ59" i="176"/>
  <c r="AI58" i="176"/>
  <c r="AJ58" i="176"/>
  <c r="AI57" i="176"/>
  <c r="AJ57" i="176"/>
  <c r="AI56" i="176"/>
  <c r="AJ56" i="176"/>
  <c r="AI55" i="176"/>
  <c r="AJ55" i="176"/>
  <c r="AJ54" i="176"/>
  <c r="AI54" i="176"/>
  <c r="AI53" i="176"/>
  <c r="AJ53" i="176"/>
  <c r="AK51" i="176"/>
  <c r="AI50" i="176"/>
  <c r="AJ50" i="176"/>
  <c r="AJ49" i="176"/>
  <c r="AI49" i="176"/>
  <c r="AI48" i="176"/>
  <c r="AJ48" i="176"/>
  <c r="AI47" i="176"/>
  <c r="AJ47" i="176"/>
  <c r="AI46" i="176"/>
  <c r="AJ46" i="176"/>
  <c r="AI45" i="176"/>
  <c r="AI44" i="176"/>
  <c r="AJ44" i="176"/>
  <c r="AK42" i="176"/>
  <c r="AI41" i="176"/>
  <c r="AJ41" i="176"/>
  <c r="AI40" i="176"/>
  <c r="AJ40" i="176"/>
  <c r="AI39" i="176"/>
  <c r="AJ39" i="176"/>
  <c r="AI38" i="176"/>
  <c r="AJ38" i="176"/>
  <c r="AI37" i="176"/>
  <c r="AI36" i="176"/>
  <c r="AJ36" i="176"/>
  <c r="AJ35" i="176"/>
  <c r="AI35" i="176"/>
  <c r="AK33" i="176"/>
  <c r="AI32" i="176"/>
  <c r="AJ32" i="176"/>
  <c r="AI31" i="176"/>
  <c r="AI30" i="176"/>
  <c r="AJ30" i="176"/>
  <c r="AI29" i="176"/>
  <c r="AJ29" i="176"/>
  <c r="AI28" i="176"/>
  <c r="AJ28" i="176"/>
  <c r="AJ27" i="176"/>
  <c r="AI27" i="176"/>
  <c r="AI26" i="176"/>
  <c r="AJ26" i="176"/>
  <c r="AK24" i="176"/>
  <c r="AI23" i="176"/>
  <c r="AJ23" i="176"/>
  <c r="AI22" i="176"/>
  <c r="AJ22" i="176"/>
  <c r="AJ21" i="176"/>
  <c r="AI21" i="176"/>
  <c r="AI20" i="176"/>
  <c r="AJ20" i="176"/>
  <c r="AJ19" i="176"/>
  <c r="AI19" i="176"/>
  <c r="AI18" i="176"/>
  <c r="AJ18" i="176"/>
  <c r="AJ17" i="176"/>
  <c r="AI17" i="176"/>
  <c r="AK15" i="176"/>
  <c r="A15" i="176"/>
  <c r="AJ14" i="176"/>
  <c r="AM7" i="176"/>
  <c r="AQ7" i="176"/>
  <c r="AP7" i="176"/>
  <c r="AJ10" i="176"/>
  <c r="AN7" i="176"/>
  <c r="AJ8" i="176"/>
  <c r="AR6" i="176"/>
  <c r="AQ6" i="176"/>
  <c r="AP6" i="176"/>
  <c r="AO6" i="176"/>
  <c r="AN6" i="176"/>
  <c r="AM6" i="176"/>
  <c r="AL6" i="176"/>
  <c r="AK6" i="176"/>
  <c r="F21" i="173"/>
  <c r="E20" i="173" s="1"/>
  <c r="E16" i="173"/>
  <c r="A1" i="176"/>
  <c r="AJ13" i="176"/>
  <c r="AJ45" i="176"/>
  <c r="A24" i="176"/>
  <c r="AJ31" i="176"/>
  <c r="AJ37" i="176"/>
  <c r="AR7" i="176"/>
  <c r="A33" i="176"/>
  <c r="A42" i="176"/>
  <c r="A51" i="176"/>
  <c r="A60" i="176"/>
  <c r="A69" i="176"/>
  <c r="A78" i="176"/>
  <c r="A87" i="176"/>
  <c r="B26" i="176" l="1"/>
  <c r="D5" i="176"/>
  <c r="E4" i="176"/>
  <c r="AO7" i="176"/>
  <c r="AJ11" i="176"/>
  <c r="AJ12" i="176"/>
  <c r="AJ9" i="176"/>
  <c r="AL7" i="176"/>
  <c r="O91" i="202" l="1"/>
  <c r="O13" i="201"/>
  <c r="O13" i="202"/>
  <c r="O93" i="202"/>
  <c r="B24" i="176"/>
  <c r="B27" i="176"/>
  <c r="B25" i="176"/>
  <c r="F4" i="176"/>
  <c r="E5" i="176"/>
  <c r="O92" i="202" l="1"/>
  <c r="O15" i="202"/>
  <c r="O14" i="202"/>
  <c r="O15" i="201"/>
  <c r="O14" i="201"/>
  <c r="B34" i="176"/>
  <c r="B42" i="176"/>
  <c r="B35" i="176"/>
  <c r="B36" i="176"/>
  <c r="B33" i="176"/>
  <c r="G4" i="176"/>
  <c r="F5" i="176"/>
  <c r="M26" i="194"/>
  <c r="F7" i="194"/>
  <c r="C62" i="194"/>
  <c r="B86" i="194"/>
  <c r="E52" i="194"/>
  <c r="A19" i="194"/>
  <c r="B7" i="194"/>
  <c r="D20" i="194"/>
  <c r="A56" i="194"/>
  <c r="M19" i="194"/>
  <c r="C51" i="194"/>
  <c r="E22" i="194"/>
  <c r="B9" i="194"/>
  <c r="D15" i="194"/>
  <c r="D63" i="194"/>
  <c r="D9" i="194"/>
  <c r="D57" i="194"/>
  <c r="C19" i="194"/>
  <c r="B15" i="194"/>
  <c r="D62" i="194"/>
  <c r="B63" i="194"/>
  <c r="B4" i="194"/>
  <c r="D50" i="194"/>
  <c r="A47" i="194"/>
  <c r="D22" i="194"/>
  <c r="D7" i="194"/>
  <c r="C14" i="194"/>
  <c r="B1" i="194"/>
  <c r="C20" i="194"/>
  <c r="E32" i="194"/>
  <c r="C24" i="194"/>
  <c r="B19" i="194"/>
  <c r="D24" i="194"/>
  <c r="A7" i="194"/>
  <c r="E4" i="194"/>
  <c r="C64" i="194"/>
  <c r="E8" i="194"/>
  <c r="E10" i="194"/>
  <c r="C56" i="194"/>
  <c r="C7" i="194"/>
  <c r="D64" i="194"/>
  <c r="A46" i="194"/>
  <c r="C5" i="194"/>
  <c r="C58" i="194"/>
  <c r="C4" i="194"/>
  <c r="A4" i="194"/>
  <c r="A13" i="194"/>
  <c r="A62" i="194"/>
  <c r="C18" i="194"/>
  <c r="D8" i="194"/>
  <c r="D14" i="194"/>
  <c r="B52" i="194"/>
  <c r="F62" i="194"/>
  <c r="B13" i="194"/>
  <c r="F13" i="194"/>
  <c r="A3" i="194"/>
  <c r="C3" i="194"/>
  <c r="E2" i="194"/>
  <c r="B50" i="194"/>
  <c r="C12" i="194"/>
  <c r="E31" i="194"/>
  <c r="D51" i="194"/>
  <c r="B48" i="194"/>
  <c r="F19" i="194"/>
  <c r="D58" i="194"/>
  <c r="C57" i="194"/>
  <c r="C16" i="194"/>
  <c r="F2" i="194"/>
  <c r="A48" i="194"/>
  <c r="E11" i="194"/>
  <c r="B5" i="194"/>
  <c r="B24" i="194"/>
  <c r="E62" i="194"/>
  <c r="M62" i="194"/>
  <c r="B12" i="194"/>
  <c r="B57" i="194"/>
  <c r="E50" i="194"/>
  <c r="B51" i="194"/>
  <c r="D19" i="194"/>
  <c r="B47" i="194"/>
  <c r="B56" i="194"/>
  <c r="E51" i="194"/>
  <c r="D52" i="194"/>
  <c r="C52" i="194"/>
  <c r="B8" i="194"/>
  <c r="C9" i="194"/>
  <c r="E45" i="194"/>
  <c r="A5" i="194"/>
  <c r="B18" i="194"/>
  <c r="F56" i="194"/>
  <c r="C21" i="194"/>
  <c r="D23" i="194"/>
  <c r="E7" i="194"/>
  <c r="E19" i="194"/>
  <c r="B20" i="194"/>
  <c r="C23" i="194"/>
  <c r="D56" i="194"/>
  <c r="D13" i="194"/>
  <c r="C22" i="194"/>
  <c r="F45" i="194"/>
  <c r="B23" i="194"/>
  <c r="B58" i="194"/>
  <c r="B62" i="194"/>
  <c r="D18" i="194"/>
  <c r="C15" i="194"/>
  <c r="B14" i="194"/>
  <c r="C13" i="194"/>
  <c r="C50" i="194"/>
  <c r="C8" i="194"/>
  <c r="E9" i="194"/>
  <c r="A86" i="194"/>
  <c r="A50" i="194"/>
  <c r="D12" i="194"/>
  <c r="D21" i="194"/>
  <c r="E5" i="194"/>
  <c r="A2" i="194"/>
  <c r="A43" i="194"/>
  <c r="C63" i="194"/>
  <c r="B21" i="194"/>
  <c r="F50" i="194"/>
  <c r="B43" i="194"/>
  <c r="B44" i="194"/>
  <c r="B64" i="194"/>
  <c r="I13" i="194" l="1"/>
  <c r="J62" i="194"/>
  <c r="L56" i="194"/>
  <c r="K3" i="194"/>
  <c r="K63" i="194"/>
  <c r="B80" i="194"/>
  <c r="J80" i="194" s="1"/>
  <c r="J58" i="194"/>
  <c r="I56" i="194"/>
  <c r="K62" i="194"/>
  <c r="I19" i="194"/>
  <c r="I46" i="194"/>
  <c r="L64" i="194"/>
  <c r="M52" i="194"/>
  <c r="B79" i="194"/>
  <c r="J79" i="194" s="1"/>
  <c r="K18" i="194"/>
  <c r="L24" i="194"/>
  <c r="L62" i="194"/>
  <c r="N56" i="194"/>
  <c r="B78" i="194"/>
  <c r="J78" i="194" s="1"/>
  <c r="L52" i="194"/>
  <c r="J5" i="194"/>
  <c r="I4" i="194"/>
  <c r="I5" i="194"/>
  <c r="K64" i="194"/>
  <c r="M32" i="194"/>
  <c r="I43" i="194"/>
  <c r="K5" i="194"/>
  <c r="L9" i="194"/>
  <c r="B35" i="194"/>
  <c r="J35" i="194" s="1"/>
  <c r="D31" i="194"/>
  <c r="L31" i="194" s="1"/>
  <c r="D74" i="194"/>
  <c r="L74" i="194" s="1"/>
  <c r="J1" i="194"/>
  <c r="D75" i="194"/>
  <c r="L75" i="194" s="1"/>
  <c r="D32" i="194"/>
  <c r="L32" i="194" s="1"/>
  <c r="B74" i="194"/>
  <c r="J74" i="194" s="1"/>
  <c r="M50" i="194"/>
  <c r="J4" i="194"/>
  <c r="K14" i="194"/>
  <c r="O45" i="194"/>
  <c r="I2" i="194"/>
  <c r="K19" i="194"/>
  <c r="I86" i="194"/>
  <c r="K16" i="194"/>
  <c r="M5" i="194"/>
  <c r="C32" i="194"/>
  <c r="K32" i="194" s="1"/>
  <c r="M11" i="194"/>
  <c r="L19" i="194"/>
  <c r="L12" i="194"/>
  <c r="F35" i="194"/>
  <c r="N35" i="194" s="1"/>
  <c r="B76" i="194"/>
  <c r="J76" i="194" s="1"/>
  <c r="J52" i="194"/>
  <c r="K12" i="194"/>
  <c r="L18" i="194"/>
  <c r="M7" i="194"/>
  <c r="B31" i="194"/>
  <c r="J31" i="194" s="1"/>
  <c r="I47" i="194"/>
  <c r="K52" i="194"/>
  <c r="B77" i="194"/>
  <c r="J77" i="194" s="1"/>
  <c r="N19" i="194"/>
  <c r="B81" i="194"/>
  <c r="J81" i="194" s="1"/>
  <c r="K58" i="194"/>
  <c r="K23" i="194"/>
  <c r="D29" i="194"/>
  <c r="L29" i="194" s="1"/>
  <c r="M9" i="194"/>
  <c r="B36" i="194"/>
  <c r="J36" i="194" s="1"/>
  <c r="B69" i="194"/>
  <c r="J69" i="194" s="1"/>
  <c r="K50" i="194"/>
  <c r="N2" i="194"/>
  <c r="L21" i="194"/>
  <c r="K51" i="194"/>
  <c r="B72" i="194"/>
  <c r="J72" i="194" s="1"/>
  <c r="B30" i="194"/>
  <c r="J30" i="194" s="1"/>
  <c r="L8" i="194"/>
  <c r="K20" i="194"/>
  <c r="M51" i="194"/>
  <c r="B75" i="194"/>
  <c r="J75" i="194" s="1"/>
  <c r="N13" i="194"/>
  <c r="K15" i="194"/>
  <c r="B38" i="194"/>
  <c r="J38" i="194" s="1"/>
  <c r="M8" i="194"/>
  <c r="B32" i="194"/>
  <c r="J32" i="194" s="1"/>
  <c r="K4" i="194"/>
  <c r="K22" i="194"/>
  <c r="D26" i="194"/>
  <c r="L26" i="194" s="1"/>
  <c r="J56" i="194"/>
  <c r="B71" i="194"/>
  <c r="J71" i="194" s="1"/>
  <c r="J51" i="194"/>
  <c r="J24" i="194"/>
  <c r="L22" i="194"/>
  <c r="D27" i="194"/>
  <c r="L27" i="194" s="1"/>
  <c r="M31" i="194"/>
  <c r="J47" i="194"/>
  <c r="B25" i="194"/>
  <c r="J25" i="194" s="1"/>
  <c r="J7" i="194"/>
  <c r="M22" i="194"/>
  <c r="B34" i="194"/>
  <c r="J34" i="194" s="1"/>
  <c r="K9" i="194"/>
  <c r="L14" i="194"/>
  <c r="L15" i="194"/>
  <c r="B39" i="194"/>
  <c r="J39" i="194" s="1"/>
  <c r="N7" i="194"/>
  <c r="J14" i="194"/>
  <c r="J20" i="194"/>
  <c r="J18" i="194"/>
  <c r="L63" i="194"/>
  <c r="N45" i="194"/>
  <c r="J64" i="194"/>
  <c r="J86" i="194"/>
  <c r="L23" i="194"/>
  <c r="I7" i="194"/>
  <c r="M2" i="194"/>
  <c r="I3" i="194"/>
  <c r="J19" i="194"/>
  <c r="J8" i="194"/>
  <c r="B28" i="194"/>
  <c r="J28" i="194" s="1"/>
  <c r="N62" i="194"/>
  <c r="K57" i="194"/>
  <c r="M10" i="194"/>
  <c r="C31" i="194"/>
  <c r="K31" i="194" s="1"/>
  <c r="K21" i="194"/>
  <c r="L13" i="194"/>
  <c r="J15" i="194"/>
  <c r="B37" i="194"/>
  <c r="J37" i="194" s="1"/>
  <c r="J13" i="194"/>
  <c r="N50" i="194"/>
  <c r="J21" i="194"/>
  <c r="L58" i="194"/>
  <c r="B82" i="194"/>
  <c r="J82" i="194" s="1"/>
  <c r="J23" i="194"/>
  <c r="D28" i="194"/>
  <c r="L28" i="194" s="1"/>
  <c r="I62" i="194"/>
  <c r="L7" i="194"/>
  <c r="B27" i="194"/>
  <c r="J27" i="194" s="1"/>
  <c r="J43" i="194"/>
  <c r="B68" i="194"/>
  <c r="J68" i="194" s="1"/>
  <c r="J50" i="194"/>
  <c r="J57" i="194"/>
  <c r="L20" i="194"/>
  <c r="L57" i="194"/>
  <c r="K8" i="194"/>
  <c r="B29" i="194"/>
  <c r="J29" i="194" s="1"/>
  <c r="B70" i="194"/>
  <c r="J70" i="194" s="1"/>
  <c r="L50" i="194"/>
  <c r="I48" i="194"/>
  <c r="L51" i="194"/>
  <c r="B73" i="194"/>
  <c r="J73" i="194" s="1"/>
  <c r="B26" i="194"/>
  <c r="J26" i="194" s="1"/>
  <c r="K7" i="194"/>
  <c r="K24" i="194"/>
  <c r="K13" i="194"/>
  <c r="J44" i="194"/>
  <c r="K56" i="194"/>
  <c r="M4" i="194"/>
  <c r="M45" i="194"/>
  <c r="J63" i="194"/>
  <c r="B33" i="194"/>
  <c r="J33" i="194" s="1"/>
  <c r="J9" i="194"/>
  <c r="J48" i="194"/>
  <c r="I50" i="194"/>
  <c r="J12" i="194"/>
  <c r="B44" i="176"/>
  <c r="B45" i="176"/>
  <c r="B43" i="176"/>
  <c r="G5" i="176"/>
  <c r="H4" i="176"/>
  <c r="B22" i="194"/>
  <c r="J22" i="194" l="1"/>
  <c r="D25" i="194"/>
  <c r="L25" i="194" s="1"/>
  <c r="B51" i="176"/>
  <c r="B52" i="176"/>
  <c r="B53" i="176"/>
  <c r="H5" i="176"/>
  <c r="I4" i="176"/>
  <c r="C65" i="194"/>
  <c r="A45" i="194"/>
  <c r="E74" i="194"/>
  <c r="B55" i="194"/>
  <c r="E48" i="194"/>
  <c r="B67" i="194"/>
  <c r="C48" i="194"/>
  <c r="C46" i="194"/>
  <c r="D66" i="194"/>
  <c r="C59" i="194"/>
  <c r="E75" i="194"/>
  <c r="E53" i="194"/>
  <c r="C67" i="194"/>
  <c r="E47" i="194"/>
  <c r="C61" i="194"/>
  <c r="B61" i="194"/>
  <c r="E65" i="194"/>
  <c r="B66" i="194"/>
  <c r="C47" i="194"/>
  <c r="C66" i="194"/>
  <c r="B65" i="194"/>
  <c r="D55" i="194"/>
  <c r="D67" i="194"/>
  <c r="C55" i="194"/>
  <c r="D65" i="194"/>
  <c r="E54" i="194"/>
  <c r="D54" i="194"/>
  <c r="D61" i="194"/>
  <c r="I45" i="194" l="1"/>
  <c r="M47" i="194"/>
  <c r="M74" i="194"/>
  <c r="L61" i="194"/>
  <c r="K46" i="194"/>
  <c r="K61" i="194"/>
  <c r="J67" i="194"/>
  <c r="M75" i="194"/>
  <c r="K48" i="194"/>
  <c r="M48" i="194"/>
  <c r="L54" i="194"/>
  <c r="F73" i="194"/>
  <c r="N73" i="194" s="1"/>
  <c r="L65" i="194"/>
  <c r="D70" i="194"/>
  <c r="L70" i="194" s="1"/>
  <c r="J55" i="194"/>
  <c r="K59" i="194"/>
  <c r="D72" i="194"/>
  <c r="L72" i="194" s="1"/>
  <c r="K66" i="194"/>
  <c r="M65" i="194"/>
  <c r="K67" i="194"/>
  <c r="K65" i="194"/>
  <c r="D69" i="194"/>
  <c r="L69" i="194" s="1"/>
  <c r="L66" i="194"/>
  <c r="K55" i="194"/>
  <c r="L67" i="194"/>
  <c r="J61" i="194"/>
  <c r="F78" i="194"/>
  <c r="N78" i="194" s="1"/>
  <c r="L55" i="194"/>
  <c r="C75" i="194"/>
  <c r="K75" i="194" s="1"/>
  <c r="M54" i="194"/>
  <c r="D71" i="194"/>
  <c r="L71" i="194" s="1"/>
  <c r="J66" i="194"/>
  <c r="C74" i="194"/>
  <c r="K74" i="194" s="1"/>
  <c r="M53" i="194"/>
  <c r="J65" i="194"/>
  <c r="D68" i="194"/>
  <c r="L68" i="194" s="1"/>
  <c r="K47" i="194"/>
  <c r="B62" i="176"/>
  <c r="B60" i="176"/>
  <c r="B63" i="176"/>
  <c r="B61" i="176"/>
  <c r="I5" i="176"/>
  <c r="J4" i="176"/>
  <c r="D11" i="194"/>
  <c r="B69" i="176" l="1"/>
  <c r="B71" i="176"/>
  <c r="B72" i="176"/>
  <c r="K4" i="176"/>
  <c r="J5" i="176"/>
  <c r="F30" i="194"/>
  <c r="N30" i="194" s="1"/>
  <c r="L11" i="194"/>
  <c r="B81" i="176" l="1"/>
  <c r="L4" i="176"/>
  <c r="K5" i="176"/>
  <c r="B87" i="176" l="1"/>
  <c r="B90" i="176"/>
  <c r="M4" i="176"/>
  <c r="L5" i="176"/>
  <c r="N4" i="176" l="1"/>
  <c r="M5" i="176"/>
  <c r="N5" i="176" l="1"/>
  <c r="O4" i="176"/>
  <c r="P4" i="176" l="1"/>
  <c r="O5" i="176"/>
  <c r="Q4" i="176" l="1"/>
  <c r="P5" i="176"/>
  <c r="E12" i="194"/>
  <c r="C30" i="194"/>
  <c r="N3" i="194"/>
  <c r="F3" i="194"/>
  <c r="C29" i="194"/>
  <c r="C27" i="194"/>
  <c r="C25" i="194"/>
  <c r="C26" i="194"/>
  <c r="C28" i="194"/>
  <c r="C35" i="194"/>
  <c r="M12" i="194" l="1"/>
  <c r="K28" i="194"/>
  <c r="K35" i="194"/>
  <c r="K26" i="194"/>
  <c r="K27" i="194"/>
  <c r="K30" i="194"/>
  <c r="D30" i="194"/>
  <c r="L30" i="194" s="1"/>
  <c r="K25" i="194"/>
  <c r="K29" i="194"/>
  <c r="R4" i="176"/>
  <c r="Q5" i="176"/>
  <c r="C11" i="194"/>
  <c r="C72" i="194"/>
  <c r="E55" i="194"/>
  <c r="C68" i="194"/>
  <c r="B10" i="194"/>
  <c r="B11" i="194"/>
  <c r="C10" i="194"/>
  <c r="C69" i="194"/>
  <c r="C71" i="194"/>
  <c r="F46" i="194"/>
  <c r="C73" i="194"/>
  <c r="N46" i="194"/>
  <c r="D10" i="194"/>
  <c r="C70" i="194"/>
  <c r="C78" i="194"/>
  <c r="M55" i="194" l="1"/>
  <c r="K10" i="194"/>
  <c r="F26" i="194"/>
  <c r="N26" i="194" s="1"/>
  <c r="F29" i="194"/>
  <c r="N29" i="194" s="1"/>
  <c r="K11" i="194"/>
  <c r="K71" i="194"/>
  <c r="K69" i="194"/>
  <c r="K78" i="194"/>
  <c r="K73" i="194"/>
  <c r="D73" i="194"/>
  <c r="L73" i="194" s="1"/>
  <c r="K70" i="194"/>
  <c r="K68" i="194"/>
  <c r="K72" i="194"/>
  <c r="J10" i="194"/>
  <c r="F25" i="194"/>
  <c r="N25" i="194" s="1"/>
  <c r="F28" i="194"/>
  <c r="N28" i="194" s="1"/>
  <c r="J11" i="194"/>
  <c r="L10" i="194"/>
  <c r="F27" i="194"/>
  <c r="N27" i="194" s="1"/>
  <c r="S4" i="176"/>
  <c r="R5" i="176"/>
  <c r="B54" i="194"/>
  <c r="B53" i="194"/>
  <c r="F10" i="194"/>
  <c r="C53" i="194"/>
  <c r="C54" i="194"/>
  <c r="D53" i="194"/>
  <c r="K53" i="194" l="1"/>
  <c r="F69" i="194"/>
  <c r="N69" i="194" s="1"/>
  <c r="F72" i="194"/>
  <c r="N72" i="194" s="1"/>
  <c r="K54" i="194"/>
  <c r="F68" i="194"/>
  <c r="N68" i="194" s="1"/>
  <c r="J53" i="194"/>
  <c r="L53" i="194"/>
  <c r="F70" i="194"/>
  <c r="N70" i="194" s="1"/>
  <c r="N10" i="194"/>
  <c r="J54" i="194"/>
  <c r="F71" i="194"/>
  <c r="N71" i="194" s="1"/>
  <c r="I9" i="184"/>
  <c r="D9" i="184"/>
  <c r="S5" i="176"/>
  <c r="T4" i="176"/>
  <c r="F53" i="194"/>
  <c r="N53" i="194" l="1"/>
  <c r="I11" i="184"/>
  <c r="C9" i="184"/>
  <c r="AF9" i="184" s="1"/>
  <c r="C11" i="184"/>
  <c r="AF11" i="184" s="1"/>
  <c r="D11" i="184"/>
  <c r="AC9" i="184"/>
  <c r="H9" i="184"/>
  <c r="T5" i="176"/>
  <c r="U4" i="176"/>
  <c r="D16" i="194"/>
  <c r="C17" i="194"/>
  <c r="L16" i="194" l="1"/>
  <c r="K17" i="194"/>
  <c r="C7" i="184"/>
  <c r="AF7" i="184" s="1"/>
  <c r="D7" i="184"/>
  <c r="AG9" i="184"/>
  <c r="AH9" i="184"/>
  <c r="AI9" i="184" s="1"/>
  <c r="AC11" i="184"/>
  <c r="H11" i="184"/>
  <c r="V4" i="176"/>
  <c r="U5" i="176"/>
  <c r="D17" i="194"/>
  <c r="D59" i="194"/>
  <c r="C60" i="194"/>
  <c r="AK9" i="184" l="1"/>
  <c r="AL9" i="184" s="1"/>
  <c r="K60" i="194"/>
  <c r="L17" i="194"/>
  <c r="L59" i="194"/>
  <c r="AF29" i="184"/>
  <c r="B16" i="176"/>
  <c r="B15" i="176"/>
  <c r="B17" i="176"/>
  <c r="B18" i="176"/>
  <c r="I7" i="184"/>
  <c r="AH11" i="184"/>
  <c r="AI11" i="184" s="1"/>
  <c r="AG11" i="184"/>
  <c r="B117" i="176"/>
  <c r="B54" i="176"/>
  <c r="B70" i="176"/>
  <c r="Q45" i="194"/>
  <c r="B116" i="176"/>
  <c r="B108" i="176"/>
  <c r="B99" i="176"/>
  <c r="B88" i="176"/>
  <c r="B78" i="176"/>
  <c r="B124" i="176"/>
  <c r="B105" i="176"/>
  <c r="B133" i="176"/>
  <c r="B125" i="176"/>
  <c r="B79" i="176"/>
  <c r="B134" i="176"/>
  <c r="Q2" i="194"/>
  <c r="B89" i="176"/>
  <c r="B114" i="176"/>
  <c r="B106" i="176"/>
  <c r="B96" i="176"/>
  <c r="B107" i="176"/>
  <c r="B126" i="176"/>
  <c r="B98" i="176"/>
  <c r="B135" i="176"/>
  <c r="B80" i="176"/>
  <c r="B97" i="176"/>
  <c r="B132" i="176"/>
  <c r="B123" i="176"/>
  <c r="B115" i="176"/>
  <c r="W4" i="176"/>
  <c r="V5" i="176"/>
  <c r="D60" i="194"/>
  <c r="B17" i="194"/>
  <c r="B16" i="194"/>
  <c r="J16" i="194" l="1"/>
  <c r="J17" i="194"/>
  <c r="L60" i="194"/>
  <c r="E25" i="194"/>
  <c r="M25" i="194" s="1"/>
  <c r="E68" i="194"/>
  <c r="M68" i="194" s="1"/>
  <c r="AK11" i="184"/>
  <c r="AL11" i="184" s="1"/>
  <c r="H7" i="184"/>
  <c r="AC7" i="184"/>
  <c r="D35" i="194"/>
  <c r="L35" i="194" s="1"/>
  <c r="E35" i="194"/>
  <c r="M35" i="194" s="1"/>
  <c r="D78" i="194"/>
  <c r="L78" i="194" s="1"/>
  <c r="E78" i="194"/>
  <c r="M78" i="194" s="1"/>
  <c r="W5" i="176"/>
  <c r="X4" i="176"/>
  <c r="B59" i="194"/>
  <c r="F16" i="194"/>
  <c r="B60" i="194"/>
  <c r="J59" i="194" l="1"/>
  <c r="N16" i="194"/>
  <c r="J60" i="194"/>
  <c r="AH7" i="184"/>
  <c r="AG7" i="184"/>
  <c r="AC29" i="184"/>
  <c r="Y4" i="176"/>
  <c r="X5" i="176"/>
  <c r="F59" i="194"/>
  <c r="F22" i="194"/>
  <c r="N59" i="194" l="1"/>
  <c r="N22" i="194"/>
  <c r="AG29" i="184"/>
  <c r="AH29" i="184"/>
  <c r="AI7" i="184"/>
  <c r="AI29" i="184" s="1"/>
  <c r="Z4" i="176"/>
  <c r="Y5" i="176"/>
  <c r="F65" i="194"/>
  <c r="N65" i="194" l="1"/>
  <c r="AK7" i="184"/>
  <c r="AA4" i="176"/>
  <c r="Z5" i="176"/>
  <c r="AK29" i="184" l="1"/>
  <c r="AL7" i="184"/>
  <c r="AL29" i="184" s="1"/>
  <c r="AA5" i="176"/>
  <c r="AB4" i="176"/>
  <c r="AB5" i="176" l="1"/>
  <c r="AC4" i="176"/>
  <c r="AD4" i="176" l="1"/>
  <c r="AC5" i="176"/>
  <c r="AD5" i="176" l="1"/>
  <c r="AE4" i="176"/>
  <c r="AE5" i="176" l="1"/>
  <c r="AF4" i="176"/>
  <c r="AF5" i="176" l="1"/>
  <c r="AG4" i="176"/>
  <c r="AH4" i="176" l="1"/>
  <c r="AH5" i="176" s="1"/>
  <c r="AG5" i="176"/>
  <c r="F12" i="201" l="1"/>
  <c r="F12" i="202"/>
  <c r="F90" i="20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R12" authorId="0" shapeId="0" xr:uid="{31793F18-991B-4473-B2FB-9A011BEC2518}">
      <text>
        <r>
          <rPr>
            <b/>
            <sz val="14"/>
            <color indexed="81"/>
            <rFont val="Tahoma"/>
            <family val="2"/>
          </rPr>
          <t xml:space="preserve">1. </t>
        </r>
        <r>
          <rPr>
            <b/>
            <sz val="14"/>
            <color indexed="81"/>
            <rFont val="돋움"/>
            <family val="3"/>
            <charset val="129"/>
          </rPr>
          <t>근로자별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소정근로시간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 xml:space="preserve">확인하기
</t>
        </r>
        <r>
          <rPr>
            <b/>
            <sz val="14"/>
            <color indexed="81"/>
            <rFont val="Tahoma"/>
            <family val="2"/>
          </rPr>
          <t xml:space="preserve">    -3. </t>
        </r>
        <r>
          <rPr>
            <b/>
            <sz val="14"/>
            <color indexed="81"/>
            <rFont val="돋움"/>
            <family val="3"/>
            <charset val="129"/>
          </rPr>
          <t>근로시간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및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휴게시간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항목</t>
        </r>
        <r>
          <rPr>
            <b/>
            <sz val="14"/>
            <color indexed="81"/>
            <rFont val="Tahoma"/>
            <family val="2"/>
          </rPr>
          <t>(1)</t>
        </r>
        <r>
          <rPr>
            <b/>
            <sz val="14"/>
            <color indexed="81"/>
            <rFont val="돋움"/>
            <family val="3"/>
            <charset val="129"/>
          </rPr>
          <t xml:space="preserve">
</t>
        </r>
        <r>
          <rPr>
            <b/>
            <sz val="14"/>
            <color indexed="81"/>
            <rFont val="Tahoma"/>
            <family val="2"/>
          </rPr>
          <t xml:space="preserve">    -5. </t>
        </r>
        <r>
          <rPr>
            <b/>
            <sz val="14"/>
            <color indexed="81"/>
            <rFont val="돋움"/>
            <family val="3"/>
            <charset val="129"/>
          </rPr>
          <t>급여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항목</t>
        </r>
        <r>
          <rPr>
            <b/>
            <sz val="14"/>
            <color indexed="81"/>
            <rFont val="Tahoma"/>
            <family val="2"/>
          </rPr>
          <t>(1)</t>
        </r>
        <r>
          <rPr>
            <b/>
            <sz val="14"/>
            <color indexed="81"/>
            <rFont val="돋움"/>
            <family val="3"/>
            <charset val="129"/>
          </rPr>
          <t xml:space="preserve">
</t>
        </r>
        <r>
          <rPr>
            <b/>
            <sz val="14"/>
            <color indexed="81"/>
            <rFont val="Tahoma"/>
            <family val="2"/>
          </rPr>
          <t xml:space="preserve">2. </t>
        </r>
        <r>
          <rPr>
            <b/>
            <sz val="14"/>
            <color indexed="81"/>
            <rFont val="돋움"/>
            <family val="3"/>
            <charset val="129"/>
          </rPr>
          <t>단시간인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경우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비고란에</t>
        </r>
        <r>
          <rPr>
            <b/>
            <sz val="14"/>
            <color indexed="81"/>
            <rFont val="Tahoma"/>
            <family val="2"/>
          </rPr>
          <t xml:space="preserve"> 1</t>
        </r>
        <r>
          <rPr>
            <b/>
            <sz val="14"/>
            <color indexed="81"/>
            <rFont val="돋움"/>
            <family val="3"/>
            <charset val="129"/>
          </rPr>
          <t>일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 xml:space="preserve">근로시간이
</t>
        </r>
        <r>
          <rPr>
            <b/>
            <sz val="14"/>
            <color indexed="81"/>
            <rFont val="Tahoma"/>
            <family val="2"/>
          </rPr>
          <t xml:space="preserve">    </t>
        </r>
        <r>
          <rPr>
            <b/>
            <sz val="14"/>
            <color indexed="81"/>
            <rFont val="돋움"/>
            <family val="3"/>
            <charset val="129"/>
          </rPr>
          <t>나오는지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 xml:space="preserve">확인하기
</t>
        </r>
        <r>
          <rPr>
            <b/>
            <sz val="14"/>
            <color indexed="81"/>
            <rFont val="Tahoma"/>
            <family val="2"/>
          </rPr>
          <t xml:space="preserve">    (1</t>
        </r>
        <r>
          <rPr>
            <b/>
            <sz val="14"/>
            <color indexed="81"/>
            <rFont val="돋움"/>
            <family val="3"/>
            <charset val="129"/>
          </rPr>
          <t>일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근로시간이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맞는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지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확인하기</t>
        </r>
        <r>
          <rPr>
            <b/>
            <sz val="14"/>
            <color indexed="81"/>
            <rFont val="Tahoma"/>
            <family val="2"/>
          </rPr>
          <t>)</t>
        </r>
        <r>
          <rPr>
            <b/>
            <sz val="14"/>
            <color indexed="81"/>
            <rFont val="돋움"/>
            <family val="3"/>
            <charset val="129"/>
          </rPr>
          <t xml:space="preserve">
</t>
        </r>
        <r>
          <rPr>
            <b/>
            <sz val="14"/>
            <color indexed="81"/>
            <rFont val="Tahoma"/>
            <family val="2"/>
          </rPr>
          <t xml:space="preserve">    (</t>
        </r>
        <r>
          <rPr>
            <b/>
            <sz val="14"/>
            <color indexed="81"/>
            <rFont val="돋움"/>
            <family val="3"/>
            <charset val="129"/>
          </rPr>
          <t>일자별로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시간이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다르면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단순입력으로</t>
        </r>
        <r>
          <rPr>
            <b/>
            <sz val="14"/>
            <color indexed="81"/>
            <rFont val="Tahoma"/>
            <family val="2"/>
          </rPr>
          <t>)</t>
        </r>
      </text>
    </comment>
    <comment ref="R90" authorId="0" shapeId="0" xr:uid="{9C1F12F8-AFC3-4CB0-AB31-D8AD6B932891}">
      <text>
        <r>
          <rPr>
            <b/>
            <sz val="14"/>
            <color indexed="81"/>
            <rFont val="Tahoma"/>
            <family val="2"/>
          </rPr>
          <t xml:space="preserve">1. </t>
        </r>
        <r>
          <rPr>
            <b/>
            <sz val="14"/>
            <color indexed="81"/>
            <rFont val="돋움"/>
            <family val="3"/>
            <charset val="129"/>
          </rPr>
          <t>근로자별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소정근로시간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 xml:space="preserve">확인하기
</t>
        </r>
        <r>
          <rPr>
            <b/>
            <sz val="14"/>
            <color indexed="81"/>
            <rFont val="Tahoma"/>
            <family val="2"/>
          </rPr>
          <t xml:space="preserve">    -3. </t>
        </r>
        <r>
          <rPr>
            <b/>
            <sz val="14"/>
            <color indexed="81"/>
            <rFont val="돋움"/>
            <family val="3"/>
            <charset val="129"/>
          </rPr>
          <t>근로시간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및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휴게시간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항목</t>
        </r>
        <r>
          <rPr>
            <b/>
            <sz val="14"/>
            <color indexed="81"/>
            <rFont val="Tahoma"/>
            <family val="2"/>
          </rPr>
          <t>(1)</t>
        </r>
        <r>
          <rPr>
            <b/>
            <sz val="14"/>
            <color indexed="81"/>
            <rFont val="돋움"/>
            <family val="3"/>
            <charset val="129"/>
          </rPr>
          <t xml:space="preserve">
</t>
        </r>
        <r>
          <rPr>
            <b/>
            <sz val="14"/>
            <color indexed="81"/>
            <rFont val="Tahoma"/>
            <family val="2"/>
          </rPr>
          <t xml:space="preserve">    -5. </t>
        </r>
        <r>
          <rPr>
            <b/>
            <sz val="14"/>
            <color indexed="81"/>
            <rFont val="돋움"/>
            <family val="3"/>
            <charset val="129"/>
          </rPr>
          <t>급여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항목</t>
        </r>
        <r>
          <rPr>
            <b/>
            <sz val="14"/>
            <color indexed="81"/>
            <rFont val="Tahoma"/>
            <family val="2"/>
          </rPr>
          <t>(1)</t>
        </r>
        <r>
          <rPr>
            <b/>
            <sz val="14"/>
            <color indexed="81"/>
            <rFont val="돋움"/>
            <family val="3"/>
            <charset val="129"/>
          </rPr>
          <t xml:space="preserve">
</t>
        </r>
        <r>
          <rPr>
            <b/>
            <sz val="14"/>
            <color indexed="81"/>
            <rFont val="Tahoma"/>
            <family val="2"/>
          </rPr>
          <t xml:space="preserve">2. </t>
        </r>
        <r>
          <rPr>
            <b/>
            <sz val="14"/>
            <color indexed="81"/>
            <rFont val="돋움"/>
            <family val="3"/>
            <charset val="129"/>
          </rPr>
          <t>단시간인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경우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비고란에</t>
        </r>
        <r>
          <rPr>
            <b/>
            <sz val="14"/>
            <color indexed="81"/>
            <rFont val="Tahoma"/>
            <family val="2"/>
          </rPr>
          <t xml:space="preserve"> 1</t>
        </r>
        <r>
          <rPr>
            <b/>
            <sz val="14"/>
            <color indexed="81"/>
            <rFont val="돋움"/>
            <family val="3"/>
            <charset val="129"/>
          </rPr>
          <t>일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 xml:space="preserve">근로시간이
</t>
        </r>
        <r>
          <rPr>
            <b/>
            <sz val="14"/>
            <color indexed="81"/>
            <rFont val="Tahoma"/>
            <family val="2"/>
          </rPr>
          <t xml:space="preserve">    </t>
        </r>
        <r>
          <rPr>
            <b/>
            <sz val="14"/>
            <color indexed="81"/>
            <rFont val="돋움"/>
            <family val="3"/>
            <charset val="129"/>
          </rPr>
          <t>나오는지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 xml:space="preserve">확인하기
</t>
        </r>
        <r>
          <rPr>
            <b/>
            <sz val="14"/>
            <color indexed="81"/>
            <rFont val="Tahoma"/>
            <family val="2"/>
          </rPr>
          <t xml:space="preserve">    (1</t>
        </r>
        <r>
          <rPr>
            <b/>
            <sz val="14"/>
            <color indexed="81"/>
            <rFont val="돋움"/>
            <family val="3"/>
            <charset val="129"/>
          </rPr>
          <t>일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근로시간이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맞는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지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확인하기</t>
        </r>
        <r>
          <rPr>
            <b/>
            <sz val="14"/>
            <color indexed="81"/>
            <rFont val="Tahoma"/>
            <family val="2"/>
          </rPr>
          <t>)</t>
        </r>
        <r>
          <rPr>
            <b/>
            <sz val="14"/>
            <color indexed="81"/>
            <rFont val="돋움"/>
            <family val="3"/>
            <charset val="129"/>
          </rPr>
          <t xml:space="preserve">
</t>
        </r>
        <r>
          <rPr>
            <b/>
            <sz val="14"/>
            <color indexed="81"/>
            <rFont val="Tahoma"/>
            <family val="2"/>
          </rPr>
          <t xml:space="preserve">    (</t>
        </r>
        <r>
          <rPr>
            <b/>
            <sz val="14"/>
            <color indexed="81"/>
            <rFont val="돋움"/>
            <family val="3"/>
            <charset val="129"/>
          </rPr>
          <t>일자별로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시간이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다르면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단순입력으로</t>
        </r>
        <r>
          <rPr>
            <b/>
            <sz val="14"/>
            <color indexed="81"/>
            <rFont val="Tahoma"/>
            <family val="2"/>
          </rPr>
          <t>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D30" authorId="0" shapeId="0" xr:uid="{4F7D0C4A-3AEE-44AD-9ACE-65DA4DF46D6A}">
      <text>
        <r>
          <rPr>
            <b/>
            <sz val="12"/>
            <color indexed="81"/>
            <rFont val="돋움"/>
            <family val="3"/>
            <charset val="129"/>
          </rPr>
          <t>연차시수로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표현함</t>
        </r>
      </text>
    </comment>
    <comment ref="D73" authorId="0" shapeId="0" xr:uid="{7D818FAD-AB21-42E3-BA53-8B87238605B5}">
      <text>
        <r>
          <rPr>
            <b/>
            <sz val="12"/>
            <color indexed="81"/>
            <rFont val="돋움"/>
            <family val="3"/>
            <charset val="129"/>
          </rPr>
          <t>연차시수로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표현함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  <author>Windows 사용자</author>
  </authors>
  <commentList>
    <comment ref="I7" authorId="0" shapeId="0" xr:uid="{673E35F0-F854-40A9-851A-C8314420197F}">
      <text>
        <r>
          <rPr>
            <b/>
            <sz val="16"/>
            <color indexed="81"/>
            <rFont val="돋움"/>
            <family val="3"/>
            <charset val="129"/>
          </rPr>
          <t>민재식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일당</t>
        </r>
        <r>
          <rPr>
            <b/>
            <sz val="16"/>
            <color indexed="81"/>
            <rFont val="Tahoma"/>
            <family val="2"/>
          </rPr>
          <t xml:space="preserve"> 13</t>
        </r>
        <r>
          <rPr>
            <b/>
            <sz val="16"/>
            <color indexed="81"/>
            <rFont val="돋움"/>
            <family val="3"/>
            <charset val="129"/>
          </rPr>
          <t xml:space="preserve">만원
</t>
        </r>
        <r>
          <rPr>
            <b/>
            <sz val="16"/>
            <color indexed="81"/>
            <rFont val="Tahoma"/>
            <family val="2"/>
          </rPr>
          <t xml:space="preserve">-&gt; </t>
        </r>
        <r>
          <rPr>
            <b/>
            <sz val="16"/>
            <color indexed="81"/>
            <rFont val="돋움"/>
            <family val="3"/>
            <charset val="129"/>
          </rPr>
          <t>상여</t>
        </r>
        <r>
          <rPr>
            <b/>
            <sz val="16"/>
            <color indexed="81"/>
            <rFont val="Tahoma"/>
            <family val="2"/>
          </rPr>
          <t xml:space="preserve"> 140</t>
        </r>
        <r>
          <rPr>
            <b/>
            <sz val="16"/>
            <color indexed="81"/>
            <rFont val="돋움"/>
            <family val="3"/>
            <charset val="129"/>
          </rPr>
          <t>만원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추가로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일당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조정함</t>
        </r>
      </text>
    </comment>
    <comment ref="AD7" authorId="1" shapeId="0" xr:uid="{681373EC-F7D2-40D6-8D9C-DE5539ACF02F}">
      <text>
        <r>
          <rPr>
            <b/>
            <sz val="9"/>
            <color indexed="81"/>
            <rFont val="Tahoma"/>
            <family val="2"/>
          </rPr>
          <t xml:space="preserve">Windows </t>
        </r>
        <r>
          <rPr>
            <b/>
            <sz val="9"/>
            <color indexed="81"/>
            <rFont val="돋움"/>
            <family val="3"/>
            <charset val="129"/>
          </rPr>
          <t>사용자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=(I11-100000)*Z11*2.7%</t>
        </r>
      </text>
    </comment>
    <comment ref="AF7" authorId="1" shapeId="0" xr:uid="{B3072E22-2FE5-4F4F-BF25-031253C0D9D6}">
      <text>
        <r>
          <rPr>
            <b/>
            <sz val="20"/>
            <color indexed="81"/>
            <rFont val="돋움"/>
            <family val="3"/>
            <charset val="129"/>
          </rPr>
          <t>민재식</t>
        </r>
        <r>
          <rPr>
            <b/>
            <sz val="20"/>
            <color indexed="81"/>
            <rFont val="Tahoma"/>
            <family val="2"/>
          </rPr>
          <t xml:space="preserve"> 
=252360/2</t>
        </r>
      </text>
    </comment>
    <comment ref="AJ9" authorId="0" shapeId="0" xr:uid="{CCA9214D-6BB5-4211-9700-7A5C9995DB43}">
      <text>
        <r>
          <rPr>
            <b/>
            <sz val="16"/>
            <color indexed="81"/>
            <rFont val="돋움"/>
            <family val="3"/>
            <charset val="129"/>
          </rPr>
          <t>김윤만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가불금</t>
        </r>
        <r>
          <rPr>
            <b/>
            <sz val="16"/>
            <color indexed="81"/>
            <rFont val="Tahoma"/>
            <family val="2"/>
          </rPr>
          <t xml:space="preserve"> 21.11</t>
        </r>
        <r>
          <rPr>
            <b/>
            <sz val="16"/>
            <color indexed="81"/>
            <rFont val="돋움"/>
            <family val="3"/>
            <charset val="129"/>
          </rPr>
          <t>월</t>
        </r>
        <r>
          <rPr>
            <b/>
            <sz val="16"/>
            <color indexed="81"/>
            <rFont val="Tahoma"/>
            <family val="2"/>
          </rPr>
          <t xml:space="preserve"> 100</t>
        </r>
        <r>
          <rPr>
            <b/>
            <sz val="16"/>
            <color indexed="81"/>
            <rFont val="돋움"/>
            <family val="3"/>
            <charset val="129"/>
          </rPr>
          <t>만원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공제하기로함</t>
        </r>
      </text>
    </comment>
  </commentList>
</comments>
</file>

<file path=xl/sharedStrings.xml><?xml version="1.0" encoding="utf-8"?>
<sst xmlns="http://schemas.openxmlformats.org/spreadsheetml/2006/main" count="643" uniqueCount="280">
  <si>
    <t>이상</t>
  </si>
  <si>
    <t>미만</t>
  </si>
  <si>
    <t>14,000천원 초과</t>
  </si>
  <si>
    <t>휴일근로</t>
    <phoneticPr fontId="15" type="noConversion"/>
  </si>
  <si>
    <t>비고</t>
    <phoneticPr fontId="15" type="noConversion"/>
  </si>
  <si>
    <t>NO</t>
    <phoneticPr fontId="15" type="noConversion"/>
  </si>
  <si>
    <t>성  명</t>
    <phoneticPr fontId="15" type="noConversion"/>
  </si>
  <si>
    <t>기본근로</t>
    <phoneticPr fontId="15" type="noConversion"/>
  </si>
  <si>
    <t>야간근로</t>
    <phoneticPr fontId="15" type="noConversion"/>
  </si>
  <si>
    <t>출근시각</t>
    <phoneticPr fontId="15" type="noConversion"/>
  </si>
  <si>
    <t>퇴근시각</t>
    <phoneticPr fontId="15" type="noConversion"/>
  </si>
  <si>
    <t>날짜</t>
    <phoneticPr fontId="15" type="noConversion"/>
  </si>
  <si>
    <t>요일</t>
    <phoneticPr fontId="15" type="noConversion"/>
  </si>
  <si>
    <t>합계</t>
    <phoneticPr fontId="15" type="noConversion"/>
  </si>
  <si>
    <t>가산반영
시간</t>
    <phoneticPr fontId="15" type="noConversion"/>
  </si>
  <si>
    <t>출근
일수</t>
    <phoneticPr fontId="15" type="noConversion"/>
  </si>
  <si>
    <t>고정연장</t>
    <phoneticPr fontId="15" type="noConversion"/>
  </si>
  <si>
    <t>휴게시간</t>
  </si>
  <si>
    <t>사용자</t>
  </si>
  <si>
    <t>근로자</t>
  </si>
  <si>
    <t>야간
근로시간</t>
    <phoneticPr fontId="19" type="noConversion"/>
  </si>
  <si>
    <t>통상시급</t>
    <phoneticPr fontId="19" type="noConversion"/>
  </si>
  <si>
    <t>근무조</t>
    <phoneticPr fontId="19" type="noConversion"/>
  </si>
  <si>
    <t>확인</t>
    <phoneticPr fontId="15" type="noConversion"/>
  </si>
  <si>
    <t>서명란</t>
    <phoneticPr fontId="15" type="noConversion"/>
  </si>
  <si>
    <t>주민등록번호</t>
    <phoneticPr fontId="15" type="noConversion"/>
  </si>
  <si>
    <t>근로일수</t>
    <phoneticPr fontId="15" type="noConversion"/>
  </si>
  <si>
    <t>공제대상가족의 수</t>
  </si>
  <si>
    <t>10,000천원 초과</t>
  </si>
  <si>
    <t>14,000천원 이하</t>
  </si>
  <si>
    <t>인사노무관리(HRM) 컨설팅 보고서</t>
    <phoneticPr fontId="60" type="noConversion"/>
  </si>
  <si>
    <t>( 임금체계분석 및 근로계약서·임금대장 정비 )</t>
    <phoneticPr fontId="60" type="noConversion"/>
  </si>
  <si>
    <t>대상 사업장</t>
    <phoneticPr fontId="60" type="noConversion"/>
  </si>
  <si>
    <t>컨설팅 수행기관</t>
    <phoneticPr fontId="60" type="noConversion"/>
  </si>
  <si>
    <t>전담 컨설턴트</t>
    <phoneticPr fontId="60" type="noConversion"/>
  </si>
  <si>
    <t>연 락 처</t>
    <phoneticPr fontId="60" type="noConversion"/>
  </si>
  <si>
    <t>www.hyhr.co.kr</t>
    <phoneticPr fontId="60" type="noConversion"/>
  </si>
  <si>
    <t>■ 작성기준월 :</t>
    <phoneticPr fontId="15" type="noConversion"/>
  </si>
  <si>
    <t xml:space="preserve">  출근대장</t>
    <phoneticPr fontId="15" type="noConversion"/>
  </si>
  <si>
    <t>기본급</t>
  </si>
  <si>
    <t>주휴수당</t>
  </si>
  <si>
    <t>고정연장수당</t>
  </si>
  <si>
    <t>수행기간</t>
    <phoneticPr fontId="60" type="noConversion"/>
  </si>
  <si>
    <t xml:space="preserve">◆ 컨설팅 결과보고서 제출일자 : </t>
    <phoneticPr fontId="15" type="noConversion"/>
  </si>
  <si>
    <t>노무법인 혜윰</t>
    <phoneticPr fontId="60" type="noConversion"/>
  </si>
  <si>
    <t>야간근로수당</t>
  </si>
  <si>
    <t>주휴일</t>
    <phoneticPr fontId="15" type="noConversion"/>
  </si>
  <si>
    <t>연차휴가</t>
    <phoneticPr fontId="15" type="noConversion"/>
  </si>
  <si>
    <t>일수</t>
    <phoneticPr fontId="15" type="noConversion"/>
  </si>
  <si>
    <t>시간</t>
    <phoneticPr fontId="15" type="noConversion"/>
  </si>
  <si>
    <t>특별연장</t>
  </si>
  <si>
    <r>
      <t xml:space="preserve">월급여액(천원)
</t>
    </r>
    <r>
      <rPr>
        <b/>
        <sz val="9"/>
        <color rgb="FF0000FF"/>
        <rFont val="HY신명조"/>
        <family val="1"/>
        <charset val="129"/>
      </rPr>
      <t>[비과세 및 학자금 제외］</t>
    </r>
    <phoneticPr fontId="23" type="noConversion"/>
  </si>
  <si>
    <t>기본</t>
    <phoneticPr fontId="15" type="noConversion"/>
  </si>
  <si>
    <t>휴일
근로시간</t>
    <phoneticPr fontId="19" type="noConversion"/>
  </si>
  <si>
    <t>근로계약서</t>
    <phoneticPr fontId="60" type="noConversion"/>
  </si>
  <si>
    <t>] 간에 다음과 같이 근로계약을 체결하고</t>
    <phoneticPr fontId="60" type="noConversion"/>
  </si>
  <si>
    <t>신의성실의 원칙에 의거하여 이를 성실히 지킬 것을 서로 약정하며 당사자가 각각 1통씩 보관한다.</t>
    <phoneticPr fontId="60" type="noConversion"/>
  </si>
  <si>
    <t xml:space="preserve">1) 근무장소 : </t>
    <phoneticPr fontId="60" type="noConversion"/>
  </si>
  <si>
    <t xml:space="preserve">2) 담당업무 : </t>
    <phoneticPr fontId="60" type="noConversion"/>
  </si>
  <si>
    <t>3) 회사는 필요시 근로자의 근무장소와 담당업무를 변경하거나 상기 업무 이외의 업무를 부과할 수 있다.</t>
    <phoneticPr fontId="60" type="noConversion"/>
  </si>
  <si>
    <t>2. 계약기간</t>
  </si>
  <si>
    <t>근무시간</t>
  </si>
  <si>
    <t>4. 수습고용</t>
  </si>
  <si>
    <t>1) 사용자는 근로자가 직장규율을 위반하였을 경우 경고, 견책, 감급, 정직, 징계해고 등을 할 수 있다.</t>
    <phoneticPr fontId="60" type="noConversion"/>
  </si>
  <si>
    <t>2) 근로자는 업무상 알게 된 회사의 비밀을 외부에 누설하지 아니하며, 퇴직 이후에도 동일하며</t>
    <phoneticPr fontId="60" type="noConversion"/>
  </si>
  <si>
    <t xml:space="preserve">   이를 위반하면 민형사상 책임을 면할 수 없다.</t>
    <phoneticPr fontId="60" type="noConversion"/>
  </si>
  <si>
    <t>1) 해당 계약서 외의 근로조건은 당사 제 규정 및 관련법령에 따른다.</t>
  </si>
  <si>
    <t>2) 급여에 관한 사항은 타인에게 공개하지 아니한다.</t>
  </si>
  <si>
    <t>위와 같이 근로계약하며 상호 성실히 이행할 것을 확약한다.</t>
    <phoneticPr fontId="60" type="noConversion"/>
  </si>
  <si>
    <t xml:space="preserve">   이를 위반함으로써 회사에 발생하는 손해에 대하여는 근로자가 책임을 지기로 한다.</t>
    <phoneticPr fontId="60" type="noConversion"/>
  </si>
  <si>
    <t>2) 아래와 같은 경우에는 회사는 본 근로계약을 해지하여 근로관계를 종료 할 수 있다.</t>
    <phoneticPr fontId="15" type="noConversion"/>
  </si>
  <si>
    <t>5. 급     여</t>
    <phoneticPr fontId="60" type="noConversion"/>
  </si>
  <si>
    <t>6. 퇴  직  금</t>
    <phoneticPr fontId="15" type="noConversion"/>
  </si>
  <si>
    <t>근로일</t>
    <phoneticPr fontId="15" type="noConversion"/>
  </si>
  <si>
    <t xml:space="preserve">   이 경우 회사는 회사의 재정여건 등을 고려하여 퇴직금중간정산 여부를 결정하여 지급할 수 있다.</t>
    <phoneticPr fontId="15" type="noConversion"/>
  </si>
  <si>
    <t>3. 근로시간
및 휴게시간</t>
    <phoneticPr fontId="15" type="noConversion"/>
  </si>
  <si>
    <t>1. 근무장소
및 담당업무</t>
    <phoneticPr fontId="15" type="noConversion"/>
  </si>
  <si>
    <t>구성항목</t>
    <phoneticPr fontId="15" type="noConversion"/>
  </si>
  <si>
    <t>금액</t>
    <phoneticPr fontId="15" type="noConversion"/>
  </si>
  <si>
    <t xml:space="preserve">구     분 </t>
    <phoneticPr fontId="15" type="noConversion"/>
  </si>
  <si>
    <t>1) 월 임금총액 : (</t>
    <phoneticPr fontId="15" type="noConversion"/>
  </si>
  <si>
    <t>월 임금총액 구성내역</t>
    <phoneticPr fontId="15" type="noConversion"/>
  </si>
  <si>
    <t>월 임금총액</t>
    <phoneticPr fontId="15" type="noConversion"/>
  </si>
  <si>
    <t>28,000천원 이하</t>
  </si>
  <si>
    <t>45,000천원 이하</t>
  </si>
  <si>
    <t xml:space="preserve">2) 퇴직급여보장법에 따른 법정 퇴직금 중간정산사유에 한하여 근로자는 퇴직금중간정산을 요청할 수 있으며, </t>
    <phoneticPr fontId="15" type="noConversion"/>
  </si>
  <si>
    <r>
      <t>2018년 2월 개정된</t>
    </r>
    <r>
      <rPr>
        <sz val="11"/>
        <color rgb="FF696A70"/>
        <rFont val="나눔바른고딕"/>
        <family val="3"/>
        <charset val="129"/>
      </rPr>
      <t> 근로소득 간이세액표입니다.</t>
    </r>
  </si>
  <si>
    <r>
      <t>시행일(2018.2.13.)이후 원천징수하는 분부터 적용</t>
    </r>
    <r>
      <rPr>
        <sz val="11"/>
        <color rgb="FF696A70"/>
        <rFont val="나눔바른고딕"/>
        <family val="3"/>
        <charset val="129"/>
      </rPr>
      <t>합니다.</t>
    </r>
  </si>
  <si>
    <t xml:space="preserve">20       년       월       일  </t>
    <phoneticPr fontId="60" type="noConversion"/>
  </si>
  <si>
    <t>Version #1</t>
    <phoneticPr fontId="15" type="noConversion"/>
  </si>
  <si>
    <t xml:space="preserve">   경우에는 회사는 수습기간 종료 이전 언제라도 본 계약을 해지할 수 있다. </t>
    <phoneticPr fontId="60" type="noConversion"/>
  </si>
  <si>
    <t xml:space="preserve">통상시급 : </t>
    <phoneticPr fontId="15" type="noConversion"/>
  </si>
  <si>
    <t>휴일
연장시간</t>
  </si>
  <si>
    <t xml:space="preserve"> 주민등록번호 : </t>
    <phoneticPr fontId="15" type="noConversion"/>
  </si>
  <si>
    <t xml:space="preserve"> 주소 : </t>
    <phoneticPr fontId="15" type="noConversion"/>
  </si>
  <si>
    <t xml:space="preserve"> 성명 : </t>
    <phoneticPr fontId="15" type="noConversion"/>
  </si>
  <si>
    <t xml:space="preserve">   ⅰ) 회사의 동의없이 타 사업장에 취업하거나, 회사의 관리감독을 벗어나 무단이탈을 한 경우</t>
    <phoneticPr fontId="60" type="noConversion"/>
  </si>
  <si>
    <t xml:space="preserve">   ⅱ) 고의 또는 중대한 과실로 회사에 손실을 초래한 경우</t>
    <phoneticPr fontId="60" type="noConversion"/>
  </si>
  <si>
    <t xml:space="preserve">   ⅲ) 본 계약이나 취업규칙 등 사규를 위반하여 경영질서를 문란케 한 경우 </t>
    <phoneticPr fontId="60" type="noConversion"/>
  </si>
  <si>
    <t xml:space="preserve">   ⅳ) 정당한 이유없이 업무수행을 지체하거나 불성실하다고 인정된 경우</t>
    <phoneticPr fontId="60" type="noConversion"/>
  </si>
  <si>
    <t xml:space="preserve">   ⅴ) 상사의 정당한 지시에 불복하거나 업무상 허위를 보고한 경우</t>
    <phoneticPr fontId="60" type="noConversion"/>
  </si>
  <si>
    <t xml:space="preserve">   ⅵ) 폭언, 폭행, 태업을 선동하는 등 붐미한 행위를 한 경우</t>
    <phoneticPr fontId="60" type="noConversion"/>
  </si>
  <si>
    <t xml:space="preserve">   ⅶ) 채용조건에 구비된 문서의 위조, 변조 또는 허위 사실이 발견되거나 신체검사를 위계한 경우</t>
    <phoneticPr fontId="60" type="noConversion"/>
  </si>
  <si>
    <t xml:space="preserve">   ⅷ) 업무상 영업 비밀을 누설한 경우</t>
    <phoneticPr fontId="60" type="noConversion"/>
  </si>
  <si>
    <t xml:space="preserve">   ⅸ) 연속하여 3일간 무단결근한 경우 또는 누계로 5일을 무단결근한 경우</t>
    <phoneticPr fontId="60" type="noConversion"/>
  </si>
  <si>
    <t xml:space="preserve">   ⅹ) 신체, 정신상의 이유로 업무수행이 곤란할 경우</t>
    <phoneticPr fontId="60" type="noConversion"/>
  </si>
  <si>
    <t xml:space="preserve">   장기요양보험료, 국민연금보험료, 고용보험료 등)을 원천 공제한 후 차액을 근로자에게 지급한다.</t>
    <phoneticPr fontId="15" type="noConversion"/>
  </si>
  <si>
    <t xml:space="preserve">   경우 또는 1년간 80퍼센트 미만 출근한 경우에는 1개월 개근 시 1일의 연차유급휴가를 부여한다.</t>
    <phoneticPr fontId="15" type="noConversion"/>
  </si>
  <si>
    <t xml:space="preserve">   그 미사용 연차유급휴가에 대해 보상하지 않는다.</t>
    <phoneticPr fontId="15" type="noConversion"/>
  </si>
  <si>
    <t>1) 근로자퇴직급여보장법에 따라 (을)의 계속근로 1년에 대해 30일분의 평균임금(퇴직금)을 지급하거나, 퇴직연금 제도에</t>
    <phoneticPr fontId="15" type="noConversion"/>
  </si>
  <si>
    <t xml:space="preserve">1) 직원이 퇴직을 원할 경우에는 적어도 30일전에 사직사유를 기재한 사직서를 서면으로 제출 하여야 하며, </t>
    <phoneticPr fontId="60" type="noConversion"/>
  </si>
  <si>
    <t xml:space="preserve">2) 수습기간 동안 수습근로자의 근무태도, 자질, 능력, 건강상태 등의 평가를 통해 업무에 적합지 않다고 판단되는 </t>
    <phoneticPr fontId="60" type="noConversion"/>
  </si>
  <si>
    <t>1) 유급휴일 : ①주휴일(일요일, 1주간의 소정근로일을 개근한 경우에 유급), ②근로자의 날(5/1), ③관공서 공휴일 및 대체공휴일</t>
    <phoneticPr fontId="15" type="noConversion"/>
  </si>
  <si>
    <t>8. 휴가</t>
    <phoneticPr fontId="15" type="noConversion"/>
  </si>
  <si>
    <t>7. 휴일</t>
    <phoneticPr fontId="15" type="noConversion"/>
  </si>
  <si>
    <t xml:space="preserve">   보상할 수 있다.</t>
    <phoneticPr fontId="15" type="noConversion"/>
  </si>
  <si>
    <t>3) 관공서 공휴일 및 대체공휴일은 근로자대표와 서면합의로 특정한 근로일로 대체할 수 있다.</t>
    <phoneticPr fontId="15" type="noConversion"/>
  </si>
  <si>
    <t xml:space="preserve">2) 회사 사정으로 주휴일에 근무할 경우에는 이를 대체하여 다른 근로일에 주휴일을 부여하거나 이에 갈음하여 금전으로 </t>
    <phoneticPr fontId="15" type="noConversion"/>
  </si>
  <si>
    <t xml:space="preserve">1) 근로기준법에 따라 1년간 80% 이상 출근하는 경우 15일의 연차유급휴가를 부여하며, 계속하여 근로한 기간이 1년 미만인 </t>
    <phoneticPr fontId="15" type="noConversion"/>
  </si>
  <si>
    <t>2) 회사는 근로자대표와의 서면합의를 통하여 소정근로일을 휴무함으로써 연차유급휴가를 대체할 수 있다.</t>
    <phoneticPr fontId="15" type="noConversion"/>
  </si>
  <si>
    <t xml:space="preserve">3) 근로기준법 제61조에 따라 연차유급휴가의 사용촉진조치에도 불구하고 근로자가 연차유급휴가를 사용하지 않은 경우 </t>
    <phoneticPr fontId="15" type="noConversion"/>
  </si>
  <si>
    <t>9. 계약해지</t>
    <phoneticPr fontId="15" type="noConversion"/>
  </si>
  <si>
    <t>10. 징계/책임</t>
    <phoneticPr fontId="60" type="noConversion"/>
  </si>
  <si>
    <t>11. 기타사항</t>
    <phoneticPr fontId="15" type="noConversion"/>
  </si>
  <si>
    <t>2) 근로계약기간 :</t>
    <phoneticPr fontId="15" type="noConversion"/>
  </si>
  <si>
    <t xml:space="preserve">1) 최초 입사일 : </t>
    <phoneticPr fontId="15" type="noConversion"/>
  </si>
  <si>
    <t xml:space="preserve">   단, 기간의 정함이 없는 근로계약인 경우에는 만료일을 명시하지 아니한다.</t>
    <phoneticPr fontId="15" type="noConversion"/>
  </si>
  <si>
    <t>4) 회사가 요청 또는 승인한 연장·야간·휴일근로에 대해서만 가산임금을 지급하고, 그 외 연장·야간·휴일근로는 원칙적으로 불허한다.</t>
    <phoneticPr fontId="15" type="noConversion"/>
  </si>
  <si>
    <r>
      <rPr>
        <b/>
        <sz val="18"/>
        <color rgb="FF000000"/>
        <rFont val="HY신명조"/>
        <family val="1"/>
        <charset val="129"/>
      </rPr>
      <t>2021년 근로소득에 대한 간이세액표</t>
    </r>
    <r>
      <rPr>
        <sz val="12"/>
        <color rgb="FF000000"/>
        <rFont val="HY신명조"/>
        <family val="1"/>
        <charset val="129"/>
      </rPr>
      <t>(소득세법시행령 제189조 관련)</t>
    </r>
    <phoneticPr fontId="60" type="noConversion"/>
  </si>
  <si>
    <t>(10,000천원인 경우의 해당 세액) + (10,000천원을 초과하는 금액에 98퍼센트를 곱한 금액의 35퍼센트 상당액)</t>
    <phoneticPr fontId="19" type="noConversion"/>
  </si>
  <si>
    <t xml:space="preserve">(10,000천원인 경우의 해당세액) + (1,372,000원) + (14,000천원을 초과하는 금액에 98퍼센트를 곱한 금액의 38퍼센트 상당액) </t>
    <phoneticPr fontId="19" type="noConversion"/>
  </si>
  <si>
    <t>28,000천원 초과</t>
    <phoneticPr fontId="19" type="noConversion"/>
  </si>
  <si>
    <t xml:space="preserve">(10,000천원인 경우의 해당세액) + (6,585,600원) + (28,000천원을 초과하는 금액에 98퍼센트를 곱한 금액의 40퍼센트 상당액) </t>
    <phoneticPr fontId="19" type="noConversion"/>
  </si>
  <si>
    <t>30,000천원 이하</t>
    <phoneticPr fontId="19" type="noConversion"/>
  </si>
  <si>
    <t>30,000천원 초과</t>
    <phoneticPr fontId="19" type="noConversion"/>
  </si>
  <si>
    <t xml:space="preserve">(10,000천원인 경우의 해당세액) + (7,369,600원) + (30,000천원을 초과하는 금액의 40퍼센트 상당액) </t>
    <phoneticPr fontId="19" type="noConversion"/>
  </si>
  <si>
    <t>45,000천원 초과</t>
    <phoneticPr fontId="19" type="noConversion"/>
  </si>
  <si>
    <t xml:space="preserve">(10,000천원인 경우의 해당세액) + (13,369,600원) + (45,000천원을 초과하는 금액의 42퍼센트 상당액) </t>
    <phoneticPr fontId="19" type="noConversion"/>
  </si>
  <si>
    <t>87,000천원 이하</t>
    <phoneticPr fontId="19" type="noConversion"/>
  </si>
  <si>
    <t>87,000천원 초과</t>
    <phoneticPr fontId="19" type="noConversion"/>
  </si>
  <si>
    <t xml:space="preserve">(10,000천원인 경우의 해당세액) + (31,009,600원) + (87,000천원을 초과하는 금액의 45퍼센트 상당액) </t>
    <phoneticPr fontId="19" type="noConversion"/>
  </si>
  <si>
    <t>기본시간</t>
    <phoneticPr fontId="15" type="noConversion"/>
  </si>
  <si>
    <t>연장시간</t>
    <phoneticPr fontId="15" type="noConversion"/>
  </si>
  <si>
    <t>월~금요일</t>
    <phoneticPr fontId="15" type="noConversion"/>
  </si>
  <si>
    <t>토요일</t>
    <phoneticPr fontId="15" type="noConversion"/>
  </si>
  <si>
    <t>성명</t>
  </si>
  <si>
    <t>일용근로자 근로내역 확인 신고서</t>
    <phoneticPr fontId="15" type="noConversion"/>
  </si>
  <si>
    <t>국적</t>
  </si>
  <si>
    <t>체류
자격</t>
    <phoneticPr fontId="15" type="noConversion"/>
  </si>
  <si>
    <t>전화번호 
또는
휴대전화</t>
    <phoneticPr fontId="15" type="noConversion"/>
  </si>
  <si>
    <t>일급
(시급)</t>
    <phoneticPr fontId="15" type="noConversion"/>
  </si>
  <si>
    <t>일
평균
근로
시간</t>
    <phoneticPr fontId="15" type="noConversion"/>
  </si>
  <si>
    <t>임금현황</t>
    <phoneticPr fontId="15" type="noConversion"/>
  </si>
  <si>
    <t>이직</t>
  </si>
  <si>
    <t>비고</t>
  </si>
  <si>
    <t>또는</t>
    <phoneticPr fontId="15" type="noConversion"/>
  </si>
  <si>
    <t>근로
일수</t>
    <phoneticPr fontId="15" type="noConversion"/>
  </si>
  <si>
    <t>보수총액</t>
    <phoneticPr fontId="15" type="noConversion"/>
  </si>
  <si>
    <t>공제내역 (일당 15만원 초과분은 근로소득세 과세)</t>
    <phoneticPr fontId="15" type="noConversion"/>
  </si>
  <si>
    <t>차액지급액</t>
    <phoneticPr fontId="15" type="noConversion"/>
  </si>
  <si>
    <t>사유</t>
  </si>
  <si>
    <t>(외국인)등록번호</t>
    <phoneticPr fontId="15" type="noConversion"/>
  </si>
  <si>
    <t>소득세</t>
    <phoneticPr fontId="19" type="noConversion"/>
  </si>
  <si>
    <t>지방소득세</t>
    <phoneticPr fontId="19" type="noConversion"/>
  </si>
  <si>
    <t>국민연금</t>
    <phoneticPr fontId="19" type="noConversion"/>
  </si>
  <si>
    <t>고용보험료</t>
    <phoneticPr fontId="19" type="noConversion"/>
  </si>
  <si>
    <t>건강보험</t>
    <phoneticPr fontId="19" type="noConversion"/>
  </si>
  <si>
    <t>장기요양</t>
    <phoneticPr fontId="19" type="noConversion"/>
  </si>
  <si>
    <t>가불금
/ 기숙사비</t>
    <phoneticPr fontId="15" type="noConversion"/>
  </si>
  <si>
    <t>합계</t>
    <phoneticPr fontId="19" type="noConversion"/>
  </si>
  <si>
    <t>일</t>
  </si>
  <si>
    <t>5.2
취득
10.1상실</t>
    <phoneticPr fontId="15" type="noConversion"/>
  </si>
  <si>
    <t>7.14
취득</t>
    <phoneticPr fontId="15" type="noConversion"/>
  </si>
  <si>
    <t>21.5.
17취득</t>
    <phoneticPr fontId="15" type="noConversion"/>
  </si>
  <si>
    <t>합 계</t>
    <phoneticPr fontId="19" type="noConversion"/>
  </si>
  <si>
    <t>20       년        월        일</t>
    <phoneticPr fontId="15" type="noConversion"/>
  </si>
  <si>
    <r>
      <rPr>
        <b/>
        <sz val="10"/>
        <color rgb="FF000000"/>
        <rFont val="맑은 고딕"/>
        <family val="3"/>
        <charset val="129"/>
        <scheme val="minor"/>
      </rPr>
      <t xml:space="preserve">부터  </t>
    </r>
    <r>
      <rPr>
        <b/>
        <u/>
        <sz val="10"/>
        <color rgb="FF000000"/>
        <rFont val="맑은 고딕"/>
        <family val="3"/>
        <charset val="129"/>
        <scheme val="minor"/>
      </rPr>
      <t>20       년        월        일</t>
    </r>
    <r>
      <rPr>
        <sz val="10"/>
        <color rgb="FF000000"/>
        <rFont val="맑은 고딕"/>
        <family val="3"/>
        <charset val="129"/>
        <scheme val="minor"/>
      </rPr>
      <t>까지</t>
    </r>
    <r>
      <rPr>
        <sz val="9.5"/>
        <color rgb="FF000000"/>
        <rFont val="맑은 고딕"/>
        <family val="3"/>
        <charset val="129"/>
        <scheme val="minor"/>
      </rPr>
      <t>(기간종료 후 근로계약은 자동종료됨)</t>
    </r>
    <phoneticPr fontId="15" type="noConversion"/>
  </si>
  <si>
    <t>1) 주소정근로시간</t>
    <phoneticPr fontId="15" type="noConversion"/>
  </si>
  <si>
    <t>시간을 기본으로 구체적인 근무시간과 휴게시간은 아래표와 같다.</t>
    <phoneticPr fontId="15" type="noConversion"/>
  </si>
  <si>
    <r>
      <rPr>
        <sz val="10"/>
        <color theme="1"/>
        <rFont val="맑은 고딕"/>
        <family val="3"/>
        <charset val="129"/>
        <scheme val="minor"/>
      </rPr>
      <t xml:space="preserve">   ※ 확인 및 동의서명 :</t>
    </r>
    <r>
      <rPr>
        <u/>
        <sz val="10"/>
        <color theme="1"/>
        <rFont val="맑은 고딕"/>
        <family val="3"/>
        <charset val="129"/>
        <scheme val="minor"/>
      </rPr>
      <t xml:space="preserve">                                     (서명 또는 날인)</t>
    </r>
    <phoneticPr fontId="15" type="noConversion"/>
  </si>
  <si>
    <t>)원으로 한다.</t>
    <phoneticPr fontId="15" type="noConversion"/>
  </si>
  <si>
    <t>시간 X 100%</t>
    <phoneticPr fontId="15" type="noConversion"/>
  </si>
  <si>
    <t>시간 X 150%</t>
  </si>
  <si>
    <r>
      <t xml:space="preserve">※ 교부확인 : 본 근로계약서를 교부받았음을 확인합니다.       (확인서명 : </t>
    </r>
    <r>
      <rPr>
        <u/>
        <sz val="11"/>
        <color rgb="FF000000"/>
        <rFont val="맑은 고딕"/>
        <family val="3"/>
        <charset val="129"/>
        <scheme val="minor"/>
      </rPr>
      <t xml:space="preserve">                                    서명 또는 날인</t>
    </r>
    <r>
      <rPr>
        <sz val="11"/>
        <color rgb="FF000000"/>
        <rFont val="맑은 고딕"/>
        <family val="3"/>
        <charset val="129"/>
        <scheme val="minor"/>
      </rPr>
      <t>)</t>
    </r>
    <phoneticPr fontId="15" type="noConversion"/>
  </si>
  <si>
    <t>서명(날인)</t>
    <phoneticPr fontId="15" type="noConversion"/>
  </si>
  <si>
    <t xml:space="preserve">  서명(날인)</t>
    <phoneticPr fontId="15" type="noConversion"/>
  </si>
  <si>
    <t>8 시간</t>
    <phoneticPr fontId="15" type="noConversion"/>
  </si>
  <si>
    <t>8 시간</t>
    <phoneticPr fontId="15" type="noConversion"/>
  </si>
  <si>
    <t>실제일수</t>
    <phoneticPr fontId="15" type="noConversion"/>
  </si>
  <si>
    <t>월~토</t>
    <phoneticPr fontId="15" type="noConversion"/>
  </si>
  <si>
    <t>일요일</t>
    <phoneticPr fontId="15" type="noConversion"/>
  </si>
  <si>
    <t>통상
시급</t>
    <phoneticPr fontId="15" type="noConversion"/>
  </si>
  <si>
    <t>2) 영업사정 및 업무특성 등을 고려하여 근로자는 연장/야간/휴일근로를 할 수 있으며, 이에 아무런 이의 없음을 동의한다.</t>
    <phoneticPr fontId="15" type="noConversion"/>
  </si>
  <si>
    <t xml:space="preserve">   가입할 수 있다.         </t>
    <phoneticPr fontId="15" type="noConversion"/>
  </si>
  <si>
    <t>3) 근로일, 근로시간 및 휴게시간은 회사의 업무상황에 따라 변동될 수 있고, 구체적인 근무는 회사의 스케줄표에 따른다.</t>
    <phoneticPr fontId="60" type="noConversion"/>
  </si>
  <si>
    <t>급여 명세서</t>
  </si>
  <si>
    <t>통상시급</t>
    <phoneticPr fontId="60" type="noConversion"/>
  </si>
  <si>
    <t>임금계산방법</t>
    <phoneticPr fontId="60" type="noConversion"/>
  </si>
  <si>
    <t>일할계산</t>
    <phoneticPr fontId="60" type="noConversion"/>
  </si>
  <si>
    <t>일할계산</t>
  </si>
  <si>
    <t>공제방법</t>
    <phoneticPr fontId="60" type="noConversion"/>
  </si>
  <si>
    <t>귀하의 노고에 감사드립니다.</t>
  </si>
  <si>
    <t>연차수당</t>
    <phoneticPr fontId="15" type="noConversion"/>
  </si>
  <si>
    <t>2) 임금은 당월 초일부터 당월 말일까지 실제 근무한 시간에 시급을 곱하여 계산하고, 상호간의 합의하에 실제로 실시한</t>
    <phoneticPr fontId="15" type="noConversion"/>
  </si>
  <si>
    <t xml:space="preserve">   연장근로, 야간근로, 휴일근로에 대해서는 각각 통상임금의 50%를 가산하여 지급한다.</t>
    <phoneticPr fontId="15" type="noConversion"/>
  </si>
  <si>
    <t xml:space="preserve"> 주소 : 대구시 수성구 달구벌대로 2598 S큐브빌딩 4층</t>
    <phoneticPr fontId="15" type="noConversion"/>
  </si>
  <si>
    <r>
      <t xml:space="preserve">(수습급여 : </t>
    </r>
    <r>
      <rPr>
        <shadow/>
        <u/>
        <sz val="10"/>
        <rFont val="맑은 고딕"/>
        <family val="3"/>
        <charset val="129"/>
        <scheme val="minor"/>
      </rPr>
      <t xml:space="preserve">                                원</t>
    </r>
    <r>
      <rPr>
        <shadow/>
        <sz val="10"/>
        <rFont val="맑은 고딕"/>
        <family val="3"/>
        <charset val="129"/>
        <scheme val="minor"/>
      </rPr>
      <t>)</t>
    </r>
    <phoneticPr fontId="15" type="noConversion"/>
  </si>
  <si>
    <t>2) 월 임금총액의 구체적인 구성항목은 다음과 같이 한다. (단위 : 원)</t>
    <phoneticPr fontId="15" type="noConversion"/>
  </si>
  <si>
    <t>3) 결근(주휴공제 포함), 지각, 조퇴 및 외출 등에 대하여는 그 해당시간만큼 공제한다.</t>
    <phoneticPr fontId="15" type="noConversion"/>
  </si>
  <si>
    <t xml:space="preserve">5) 회사는 근로자의 보수에 따른 각종 세금(근로소득세, 지방소득세) 및 납부의무가 있는 사회보장보험료(건강보험 및 </t>
    <phoneticPr fontId="60" type="noConversion"/>
  </si>
  <si>
    <r>
      <t xml:space="preserve">1) 신규입사자의 경우 최초입사일부터 </t>
    </r>
    <r>
      <rPr>
        <shadow/>
        <u/>
        <sz val="10"/>
        <color rgb="FF282828"/>
        <rFont val="맑은 고딕"/>
        <family val="3"/>
        <charset val="129"/>
        <scheme val="minor"/>
      </rPr>
      <t xml:space="preserve">    개월</t>
    </r>
    <r>
      <rPr>
        <shadow/>
        <sz val="10"/>
        <color rgb="FF282828"/>
        <rFont val="맑은 고딕"/>
        <family val="3"/>
        <charset val="129"/>
        <scheme val="minor"/>
      </rPr>
      <t>간은 수습기간을 적용하기로 한다.  (202     .      .      .~202     .      .      .)</t>
    </r>
    <phoneticPr fontId="60" type="noConversion"/>
  </si>
  <si>
    <t>1) 시급은 : (</t>
    <phoneticPr fontId="15" type="noConversion"/>
  </si>
  <si>
    <t>3) 1년 이상 기간을 정하여 근로계약(무기계약 포함)을 체결한 경우에 한하여 수습기간 동안 최저임금의 90%까지 월급여를</t>
    <phoneticPr fontId="15" type="noConversion"/>
  </si>
  <si>
    <r>
      <t xml:space="preserve">(수습시급 : </t>
    </r>
    <r>
      <rPr>
        <shadow/>
        <u/>
        <sz val="10"/>
        <rFont val="맑은 고딕"/>
        <family val="3"/>
        <charset val="129"/>
        <scheme val="minor"/>
      </rPr>
      <t xml:space="preserve">                                원</t>
    </r>
    <r>
      <rPr>
        <shadow/>
        <sz val="10"/>
        <rFont val="맑은 고딕"/>
        <family val="3"/>
        <charset val="129"/>
        <scheme val="minor"/>
      </rPr>
      <t>)</t>
    </r>
    <phoneticPr fontId="15" type="noConversion"/>
  </si>
  <si>
    <t>3) 1주간 소정근로일을 개근한 경우에만 주휴수당을 지급한다.</t>
    <phoneticPr fontId="15" type="noConversion"/>
  </si>
  <si>
    <t>4) 결근, 지각, 조퇴, 및 외출 등에 대하여는 그 해당시간만큼 공제한다.</t>
    <phoneticPr fontId="15" type="noConversion"/>
  </si>
  <si>
    <t xml:space="preserve">6) 회사는 근로자의 보수에 따른 각종 세금(근로소득세, 지방소득세) 및 납부의무가 있는 사회보장보험료(건강보험 및 </t>
    <phoneticPr fontId="60" type="noConversion"/>
  </si>
  <si>
    <t xml:space="preserve">   감액하여 지급할 수 있다. (단, 고용노동부 장관이 고시한 단순노무종사자는 제외한다.)</t>
    <phoneticPr fontId="15" type="noConversion"/>
  </si>
  <si>
    <t xml:space="preserve"> </t>
  </si>
  <si>
    <t>연장</t>
    <phoneticPr fontId="15" type="noConversion"/>
  </si>
  <si>
    <t>기본일급</t>
    <phoneticPr fontId="19" type="noConversion"/>
  </si>
  <si>
    <t>주휴수당</t>
    <phoneticPr fontId="19" type="noConversion"/>
  </si>
  <si>
    <t>연장근로수당</t>
    <phoneticPr fontId="19" type="noConversion"/>
  </si>
  <si>
    <t>합계 (가산반영 총 시간)</t>
    <phoneticPr fontId="15" type="noConversion"/>
  </si>
  <si>
    <t>A</t>
    <phoneticPr fontId="15" type="noConversion"/>
  </si>
  <si>
    <t>7.5*5/5일/5일</t>
    <phoneticPr fontId="15" type="noConversion"/>
  </si>
  <si>
    <t>일급 총액</t>
    <phoneticPr fontId="19" type="noConversion"/>
  </si>
  <si>
    <t>1) 기본일급은 (</t>
    <phoneticPr fontId="15" type="noConversion"/>
  </si>
  <si>
    <t>)원이고, 약정일급은 (</t>
    <phoneticPr fontId="15" type="noConversion"/>
  </si>
  <si>
    <t>)원이다.</t>
    <phoneticPr fontId="15" type="noConversion"/>
  </si>
  <si>
    <t xml:space="preserve">   위 약정일급은 기본근로에 대한 기본급, 주휴일을 반영한 주휴수당, 연장근로를 반영한 연장근로수당 등을 모두 포함한다.</t>
    <phoneticPr fontId="15" type="noConversion"/>
  </si>
  <si>
    <t>약정 일급여액 구성내역</t>
    <phoneticPr fontId="15" type="noConversion"/>
  </si>
  <si>
    <t>약정 일급</t>
    <phoneticPr fontId="15" type="noConversion"/>
  </si>
  <si>
    <t>기본근로(기본일급) 반영시간</t>
    <phoneticPr fontId="15" type="noConversion"/>
  </si>
  <si>
    <t>주휴일 반영시간</t>
    <phoneticPr fontId="15" type="noConversion"/>
  </si>
  <si>
    <t>일 7.5시간 X 1.0배</t>
    <phoneticPr fontId="15" type="noConversion"/>
  </si>
  <si>
    <t>일 1.5시간 X 1.0배</t>
    <phoneticPr fontId="15" type="noConversion"/>
  </si>
  <si>
    <r>
      <t xml:space="preserve">4) 매월 1일～말일까지 근로에 대한 임금은 </t>
    </r>
    <r>
      <rPr>
        <u/>
        <sz val="10"/>
        <color rgb="FF0000FF"/>
        <rFont val="맑은 고딕"/>
        <family val="3"/>
        <charset val="129"/>
        <scheme val="minor"/>
      </rPr>
      <t>익월    12일</t>
    </r>
    <r>
      <rPr>
        <sz val="10"/>
        <color rgb="FF000000"/>
        <rFont val="맑은 고딕"/>
        <family val="3"/>
        <charset val="129"/>
        <scheme val="minor"/>
      </rPr>
      <t>에 본인계좌로 입금 지급한다.</t>
    </r>
    <phoneticPr fontId="15" type="noConversion"/>
  </si>
  <si>
    <t>2) 약정일급의 구체적인 구성항목은 다음과 같이 한다. (단위 : 원)</t>
    <phoneticPr fontId="15" type="noConversion"/>
  </si>
  <si>
    <t>5) 임금은 당월 초일부터 당월 말일까지 실제 출근한 일수에 일급을 곱하여 계산하고, 상호간의 합의하에 실제로 실시한</t>
    <phoneticPr fontId="15" type="noConversion"/>
  </si>
  <si>
    <t>~</t>
    <phoneticPr fontId="15" type="noConversion"/>
  </si>
  <si>
    <t>)</t>
    <phoneticPr fontId="15" type="noConversion"/>
  </si>
  <si>
    <t>수습개월 입력</t>
    <phoneticPr fontId="15" type="noConversion"/>
  </si>
  <si>
    <t>사업장 주소</t>
    <phoneticPr fontId="15" type="noConversion"/>
  </si>
  <si>
    <t>대표자명</t>
    <phoneticPr fontId="15" type="noConversion"/>
  </si>
  <si>
    <t>대구시 수성구 범어천로66, 4층</t>
    <phoneticPr fontId="15" type="noConversion"/>
  </si>
  <si>
    <t>박우용</t>
    <phoneticPr fontId="15" type="noConversion"/>
  </si>
  <si>
    <t>근속수당</t>
  </si>
  <si>
    <t>직급수당</t>
  </si>
  <si>
    <t>직책수당</t>
  </si>
  <si>
    <t>(비과세)연구수당</t>
  </si>
  <si>
    <r>
      <t xml:space="preserve">※ 교부확인 : 본 근로계약서를 교부받았음을 확인합니다.       (확인서명 : </t>
    </r>
    <r>
      <rPr>
        <b/>
        <u/>
        <sz val="11"/>
        <color rgb="FF000000"/>
        <rFont val="맑은 고딕"/>
        <family val="3"/>
        <charset val="129"/>
        <scheme val="minor"/>
      </rPr>
      <t xml:space="preserve">                                    서명 또는 날인</t>
    </r>
    <r>
      <rPr>
        <b/>
        <sz val="11"/>
        <color rgb="FF000000"/>
        <rFont val="맑은 고딕"/>
        <family val="3"/>
        <charset val="129"/>
        <scheme val="minor"/>
      </rPr>
      <t>)</t>
    </r>
    <phoneticPr fontId="15" type="noConversion"/>
  </si>
  <si>
    <t>조상우 노무사</t>
    <phoneticPr fontId="15" type="noConversion"/>
  </si>
  <si>
    <t>010-5015-4017</t>
    <phoneticPr fontId="15" type="noConversion"/>
  </si>
  <si>
    <t>전 화 : 055 - 253 - 9117   /   팩스 : 055 - 253 - 9118</t>
    <phoneticPr fontId="60" type="noConversion"/>
  </si>
  <si>
    <t>주 소 : 경남 창원시 마산회원구 양덕동 2길 5,(마산새마을금고본점, 5층 502호)  
   이메일 : 9114@hanmail.net</t>
    <phoneticPr fontId="60" type="noConversion"/>
  </si>
  <si>
    <t>(통상임금 포함)</t>
  </si>
  <si>
    <t>(통상임금 포함)</t>
    <phoneticPr fontId="15" type="noConversion"/>
  </si>
  <si>
    <t>기본급(주휴포함)</t>
  </si>
  <si>
    <t>월 기본근로(주휴포함)</t>
  </si>
  <si>
    <t>고정연장근로수당</t>
  </si>
  <si>
    <t>월 고정연장근로</t>
  </si>
  <si>
    <t>(통상임금 미포함)</t>
    <phoneticPr fontId="15" type="noConversion"/>
  </si>
  <si>
    <t>배 찬 용</t>
    <phoneticPr fontId="15" type="noConversion"/>
  </si>
  <si>
    <t xml:space="preserve">      년         월         일  </t>
    <phoneticPr fontId="60" type="noConversion"/>
  </si>
  <si>
    <t>회사이름</t>
    <phoneticPr fontId="15" type="noConversion"/>
  </si>
  <si>
    <t>회사이름 대표자이름</t>
    <phoneticPr fontId="15" type="noConversion"/>
  </si>
  <si>
    <t>근로자이름</t>
    <phoneticPr fontId="15" type="noConversion"/>
  </si>
  <si>
    <t>고용주 회사이름(이하 사업자)와 근로자 [</t>
    <phoneticPr fontId="15" type="noConversion"/>
  </si>
  <si>
    <t>신의성실의 원칙에 의거하여 이를 이행할 것을 약속하여 근로 계약을 체결한다.</t>
    <phoneticPr fontId="60" type="noConversion"/>
  </si>
  <si>
    <t>1) 근로 개시일 :</t>
    <phoneticPr fontId="60" type="noConversion"/>
  </si>
  <si>
    <t>3) 소정근로시간 :</t>
    <phoneticPr fontId="60" type="noConversion"/>
  </si>
  <si>
    <t>2) 근무장소 :</t>
    <phoneticPr fontId="60" type="noConversion"/>
  </si>
  <si>
    <t>4) 휴게시간 :</t>
    <phoneticPr fontId="60" type="noConversion"/>
  </si>
  <si>
    <t>근로조건</t>
    <phoneticPr fontId="15" type="noConversion"/>
  </si>
  <si>
    <t>5) 근무일 / 휴일</t>
    <phoneticPr fontId="60" type="noConversion"/>
  </si>
  <si>
    <t>6) 업무내용</t>
    <phoneticPr fontId="60" type="noConversion"/>
  </si>
  <si>
    <t>7) 부서 및 직급 :</t>
    <phoneticPr fontId="60" type="noConversion"/>
  </si>
  <si>
    <t>4) 매월 1일～말일까지 근로에 대한 임금은 익월     일에 본인계좌로 입금 지급한다.</t>
    <phoneticPr fontId="15" type="noConversion"/>
  </si>
  <si>
    <t>급  여</t>
    <phoneticPr fontId="6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</si>
</sst>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_ * #,##0_ ;_ * \-#,##0_ ;_ * &quot;-&quot;_ ;_ @_ "/>
    <numFmt numFmtId="178" formatCode="000000\-0000000"/>
    <numFmt numFmtId="179" formatCode="0_);[Red]\(0\)"/>
    <numFmt numFmtId="180" formatCode="yyyy&quot;년&quot;\ m&quot;월&quot;;@"/>
    <numFmt numFmtId="181" formatCode="yyyy&quot;년&quot;\ m&quot;월&quot;\ d&quot;일&quot;;@"/>
    <numFmt numFmtId="182" formatCode="_-* #,##0.0_-;\-* #,##0.0_-;_-* &quot;-&quot;_-;_-@_-"/>
    <numFmt numFmtId="183" formatCode="_-* #,##0.00_-;\-* #,##0.00_-;_-* &quot;-&quot;_-;_-@_-"/>
    <numFmt numFmtId="184" formatCode="0.00;_ÿ"/>
    <numFmt numFmtId="185" formatCode="0.0_ "/>
    <numFmt numFmtId="186" formatCode="h:mm;@"/>
    <numFmt numFmtId="187" formatCode="0.0_);[Red]\(0.0\)"/>
    <numFmt numFmtId="188" formatCode="#,##0_ "/>
    <numFmt numFmtId="189" formatCode="0.000000"/>
    <numFmt numFmtId="190" formatCode="m&quot;/&quot;d;@"/>
    <numFmt numFmtId="191" formatCode="0_ "/>
    <numFmt numFmtId="192" formatCode="0.0"/>
    <numFmt numFmtId="193" formatCode="#,##0.0_);[Red]\(#,##0.0\)"/>
    <numFmt numFmtId="194" formatCode="_-* #,##0.0_-;\-* #,##0.0_-;_-* &quot;-&quot;??_-;_-@_-"/>
    <numFmt numFmtId="195" formatCode="#,##0.0_ "/>
    <numFmt numFmtId="196" formatCode="0.0%"/>
    <numFmt numFmtId="197" formatCode="yyyy/mm/dd;@"/>
    <numFmt numFmtId="198" formatCode="\(#,##0\)"/>
    <numFmt numFmtId="199" formatCode="[Red]\(#,##0\)"/>
    <numFmt numFmtId="200" formatCode="\-"/>
    <numFmt numFmtId="201" formatCode="#,##0.00_);[Red]\(#,##0.00\)"/>
  </numFmts>
  <fonts count="14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  <font>
      <sz val="12"/>
      <name val="바탕체"/>
      <family val="1"/>
      <charset val="129"/>
    </font>
    <font>
      <sz val="11"/>
      <name val="굴림"/>
      <family val="3"/>
      <charset val="129"/>
    </font>
    <font>
      <sz val="8"/>
      <name val="맑은 고딕"/>
      <family val="3"/>
      <charset val="129"/>
    </font>
    <font>
      <sz val="12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맑은 고딕"/>
      <family val="3"/>
      <charset val="129"/>
    </font>
    <font>
      <b/>
      <sz val="9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30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b/>
      <sz val="30"/>
      <color rgb="FF3333FF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26"/>
      <name val="맑은 고딕"/>
      <family val="3"/>
      <charset val="129"/>
      <scheme val="minor"/>
    </font>
    <font>
      <sz val="12"/>
      <color rgb="FF0000FF"/>
      <name val="맑은 고딕"/>
      <family val="3"/>
      <charset val="129"/>
      <scheme val="minor"/>
    </font>
    <font>
      <sz val="10"/>
      <color rgb="FF000000"/>
      <name val="HY신명조"/>
      <family val="1"/>
      <charset val="129"/>
    </font>
    <font>
      <b/>
      <sz val="10"/>
      <color rgb="FF0000FF"/>
      <name val="HY신명조"/>
      <family val="1"/>
      <charset val="129"/>
    </font>
    <font>
      <b/>
      <sz val="11"/>
      <color rgb="FF0000FF"/>
      <name val="돋움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20"/>
      <color rgb="FF0000FF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b/>
      <sz val="16"/>
      <color rgb="FF0000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2"/>
      <color rgb="FF0000FF"/>
      <name val="맑은 고딕"/>
      <family val="3"/>
      <charset val="129"/>
      <scheme val="minor"/>
    </font>
    <font>
      <sz val="18"/>
      <color rgb="FF000000"/>
      <name val="HY신명조"/>
      <family val="1"/>
      <charset val="129"/>
    </font>
    <font>
      <b/>
      <sz val="20"/>
      <color rgb="FF3333FF"/>
      <name val="맑은 고딕"/>
      <family val="3"/>
      <charset val="129"/>
      <scheme val="minor"/>
    </font>
    <font>
      <b/>
      <sz val="11"/>
      <color theme="0" tint="-0.34998626667073579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22"/>
      <color theme="4" tint="-0.249977111117893"/>
      <name val="맑은 고딕"/>
      <family val="3"/>
      <charset val="129"/>
      <scheme val="minor"/>
    </font>
    <font>
      <b/>
      <sz val="14"/>
      <color rgb="FFCC6600"/>
      <name val="맑은 고딕"/>
      <family val="3"/>
      <charset val="129"/>
      <scheme val="minor"/>
    </font>
    <font>
      <b/>
      <sz val="28"/>
      <color rgb="FF3333FF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2"/>
      <color rgb="FF00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sz val="15"/>
      <name val="맑은 고딕"/>
      <family val="3"/>
      <charset val="129"/>
      <scheme val="minor"/>
    </font>
    <font>
      <b/>
      <sz val="18"/>
      <color rgb="FF000000"/>
      <name val="HY신명조"/>
      <family val="1"/>
      <charset val="129"/>
    </font>
    <font>
      <sz val="12"/>
      <color rgb="FF000000"/>
      <name val="HY신명조"/>
      <family val="1"/>
      <charset val="129"/>
    </font>
    <font>
      <sz val="10"/>
      <color theme="1"/>
      <name val="HY신명조"/>
      <family val="1"/>
      <charset val="129"/>
    </font>
    <font>
      <b/>
      <sz val="9"/>
      <color rgb="FF0000FF"/>
      <name val="HY신명조"/>
      <family val="1"/>
      <charset val="129"/>
    </font>
    <font>
      <b/>
      <sz val="24"/>
      <color rgb="FF000000"/>
      <name val="맑은 고딕"/>
      <family val="3"/>
      <charset val="129"/>
      <scheme val="minor"/>
    </font>
    <font>
      <b/>
      <sz val="2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hadow/>
      <sz val="10"/>
      <color rgb="FF282828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u/>
      <sz val="11"/>
      <color rgb="FF000000"/>
      <name val="맑은 고딕"/>
      <family val="3"/>
      <charset val="129"/>
      <scheme val="minor"/>
    </font>
    <font>
      <shadow/>
      <u/>
      <sz val="10"/>
      <color rgb="FF282828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rgb="FF3879C0"/>
      <name val="나눔바른고딕"/>
      <family val="3"/>
      <charset val="129"/>
    </font>
    <font>
      <sz val="11"/>
      <color rgb="FF696A70"/>
      <name val="나눔바른고딕"/>
      <family val="3"/>
      <charset val="129"/>
    </font>
    <font>
      <b/>
      <sz val="10"/>
      <color theme="0" tint="-4.9989318521683403E-2"/>
      <name val="맑은 고딕"/>
      <family val="3"/>
      <charset val="129"/>
      <scheme val="minor"/>
    </font>
    <font>
      <b/>
      <u/>
      <sz val="10"/>
      <color rgb="FF000000"/>
      <name val="맑은 고딕"/>
      <family val="3"/>
      <charset val="129"/>
      <scheme val="minor"/>
    </font>
    <font>
      <u/>
      <sz val="10"/>
      <color theme="1"/>
      <name val="맑은 고딕"/>
      <family val="3"/>
      <charset val="129"/>
      <scheme val="minor"/>
    </font>
    <font>
      <u/>
      <sz val="10"/>
      <color rgb="FF0000FF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1"/>
      <color rgb="FF9C0006"/>
      <name val="맑은 고딕"/>
      <family val="3"/>
      <charset val="129"/>
      <scheme val="minor"/>
    </font>
    <font>
      <b/>
      <sz val="11"/>
      <color theme="0" tint="-0.249977111117893"/>
      <name val="맑은 고딕"/>
      <family val="3"/>
      <charset val="129"/>
      <scheme val="minor"/>
    </font>
    <font>
      <b/>
      <sz val="12"/>
      <color theme="0" tint="-0.14999847407452621"/>
      <name val="맑은 고딕"/>
      <family val="3"/>
      <charset val="129"/>
      <scheme val="minor"/>
    </font>
    <font>
      <shadow/>
      <sz val="10"/>
      <name val="맑은 고딕"/>
      <family val="3"/>
      <charset val="129"/>
      <scheme val="minor"/>
    </font>
    <font>
      <sz val="9.5"/>
      <color rgb="FF000000"/>
      <name val="맑은 고딕"/>
      <family val="3"/>
      <charset val="129"/>
      <scheme val="minor"/>
    </font>
    <font>
      <shadow/>
      <u/>
      <sz val="10"/>
      <name val="맑은 고딕"/>
      <family val="3"/>
      <charset val="129"/>
      <scheme val="minor"/>
    </font>
    <font>
      <b/>
      <sz val="16"/>
      <color indexed="81"/>
      <name val="Tahoma"/>
      <family val="2"/>
    </font>
    <font>
      <b/>
      <sz val="16"/>
      <color indexed="81"/>
      <name val="돋움"/>
      <family val="3"/>
      <charset val="129"/>
    </font>
    <font>
      <b/>
      <sz val="16"/>
      <color rgb="FFFF0000"/>
      <name val="맑은 고딕"/>
      <family val="3"/>
      <charset val="129"/>
      <scheme val="minor"/>
    </font>
    <font>
      <b/>
      <sz val="16"/>
      <name val="돋움"/>
      <family val="3"/>
      <charset val="129"/>
    </font>
    <font>
      <b/>
      <sz val="16"/>
      <color rgb="FFFF0000"/>
      <name val="돋움"/>
      <family val="3"/>
      <charset val="129"/>
    </font>
    <font>
      <sz val="20"/>
      <name val="맑은 고딕"/>
      <family val="3"/>
      <charset val="129"/>
      <scheme val="minor"/>
    </font>
    <font>
      <b/>
      <sz val="28"/>
      <name val="맑은 고딕"/>
      <family val="3"/>
      <charset val="129"/>
      <scheme val="minor"/>
    </font>
    <font>
      <b/>
      <sz val="28"/>
      <color rgb="FF000000"/>
      <name val="맑은 고딕"/>
      <family val="3"/>
      <charset val="129"/>
      <scheme val="minor"/>
    </font>
    <font>
      <b/>
      <sz val="16"/>
      <color rgb="FF000000"/>
      <name val="맑은 고딕"/>
      <family val="3"/>
      <charset val="129"/>
      <scheme val="minor"/>
    </font>
    <font>
      <b/>
      <sz val="28"/>
      <color rgb="FF0000FF"/>
      <name val="맑은 고딕"/>
      <family val="3"/>
      <charset val="129"/>
      <scheme val="minor"/>
    </font>
    <font>
      <sz val="16"/>
      <color rgb="FF000000"/>
      <name val="맑은 고딕"/>
      <family val="3"/>
      <charset val="129"/>
      <scheme val="minor"/>
    </font>
    <font>
      <sz val="16"/>
      <color rgb="FFFF0000"/>
      <name val="맑은 고딕"/>
      <family val="3"/>
      <charset val="129"/>
      <scheme val="minor"/>
    </font>
    <font>
      <b/>
      <sz val="18"/>
      <color rgb="FF0000FF"/>
      <name val="맑은 고딕"/>
      <family val="3"/>
      <charset val="129"/>
      <scheme val="minor"/>
    </font>
    <font>
      <sz val="18"/>
      <name val="맑은 고딕"/>
      <family val="3"/>
      <charset val="129"/>
      <scheme val="minor"/>
    </font>
    <font>
      <sz val="16"/>
      <color theme="0"/>
      <name val="맑은 고딕"/>
      <family val="3"/>
      <charset val="129"/>
      <scheme val="minor"/>
    </font>
    <font>
      <b/>
      <sz val="20"/>
      <color indexed="81"/>
      <name val="돋움"/>
      <family val="3"/>
      <charset val="129"/>
    </font>
    <font>
      <b/>
      <sz val="20"/>
      <color indexed="81"/>
      <name val="Tahoma"/>
      <family val="2"/>
    </font>
    <font>
      <sz val="14"/>
      <color rgb="FF000000"/>
      <name val="맑은 고딕"/>
      <family val="3"/>
      <charset val="129"/>
      <scheme val="minor"/>
    </font>
    <font>
      <sz val="20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sz val="8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sz val="9"/>
      <name val="굴림"/>
      <family val="3"/>
      <charset val="129"/>
    </font>
    <font>
      <sz val="20"/>
      <color theme="1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i/>
      <sz val="10"/>
      <name val="맑은 고딕"/>
      <family val="3"/>
      <charset val="129"/>
      <scheme val="major"/>
    </font>
    <font>
      <i/>
      <sz val="11"/>
      <name val="맑은 고딕"/>
      <family val="3"/>
      <charset val="129"/>
      <scheme val="major"/>
    </font>
    <font>
      <b/>
      <sz val="9"/>
      <color rgb="FF000000"/>
      <name val="맑은 고딕"/>
      <family val="3"/>
      <charset val="129"/>
      <scheme val="minor"/>
    </font>
    <font>
      <sz val="11"/>
      <color theme="1"/>
      <name val="굴림"/>
      <family val="3"/>
      <charset val="129"/>
    </font>
    <font>
      <b/>
      <sz val="12"/>
      <color indexed="81"/>
      <name val="돋움"/>
      <family val="3"/>
      <charset val="129"/>
    </font>
    <font>
      <b/>
      <sz val="12"/>
      <color indexed="81"/>
      <name val="Tahoma"/>
      <family val="2"/>
    </font>
    <font>
      <b/>
      <sz val="14"/>
      <color indexed="81"/>
      <name val="Tahoma"/>
      <family val="2"/>
    </font>
    <font>
      <b/>
      <sz val="14"/>
      <color indexed="81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20"/>
      <color rgb="FFFFFF00"/>
      <name val="맑은 고딕"/>
      <family val="3"/>
      <charset val="129"/>
      <scheme val="minor"/>
    </font>
    <font>
      <b/>
      <u/>
      <sz val="11"/>
      <color rgb="FF000000"/>
      <name val="맑은 고딕"/>
      <family val="3"/>
      <charset val="129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</fills>
  <borders count="26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ck">
        <color theme="0" tint="-0.34998626667073579"/>
      </left>
      <right style="thin">
        <color rgb="FFAEAEAE"/>
      </right>
      <top style="thick">
        <color theme="0" tint="-0.34998626667073579"/>
      </top>
      <bottom/>
      <diagonal/>
    </border>
    <border>
      <left style="thin">
        <color rgb="FFAEAEAE"/>
      </left>
      <right style="thin">
        <color rgb="FFAEAEAE"/>
      </right>
      <top style="thick">
        <color theme="0" tint="-0.34998626667073579"/>
      </top>
      <bottom/>
      <diagonal/>
    </border>
    <border>
      <left style="thin">
        <color rgb="FFAEAEAE"/>
      </left>
      <right/>
      <top style="thick">
        <color theme="0" tint="-0.34998626667073579"/>
      </top>
      <bottom style="thin">
        <color rgb="FFAEAEAE"/>
      </bottom>
      <diagonal/>
    </border>
    <border>
      <left/>
      <right/>
      <top style="thick">
        <color theme="0" tint="-0.34998626667073579"/>
      </top>
      <bottom style="thin">
        <color rgb="FFAEAEAE"/>
      </bottom>
      <diagonal/>
    </border>
    <border>
      <left/>
      <right style="thin">
        <color rgb="FFAEAEAE"/>
      </right>
      <top style="thick">
        <color theme="0" tint="-0.34998626667073579"/>
      </top>
      <bottom style="thin">
        <color rgb="FFAEAEAE"/>
      </bottom>
      <diagonal/>
    </border>
    <border>
      <left style="thin">
        <color rgb="FFAEAEAE"/>
      </left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 style="thin">
        <color rgb="FFAEAEAE"/>
      </right>
      <top/>
      <bottom/>
      <diagonal/>
    </border>
    <border>
      <left style="thin">
        <color rgb="FFAEAEAE"/>
      </left>
      <right style="thin">
        <color rgb="FFAEAEAE"/>
      </right>
      <top/>
      <bottom/>
      <diagonal/>
    </border>
    <border>
      <left style="thin">
        <color rgb="FFAEAEAE"/>
      </left>
      <right style="hair">
        <color rgb="FFAEAEAE"/>
      </right>
      <top style="thin">
        <color rgb="FFAEAEAE"/>
      </top>
      <bottom style="hair">
        <color rgb="FFAEAEAE"/>
      </bottom>
      <diagonal/>
    </border>
    <border>
      <left style="hair">
        <color rgb="FFAEAEAE"/>
      </left>
      <right style="hair">
        <color rgb="FFAEAEAE"/>
      </right>
      <top style="thin">
        <color rgb="FFAEAEAE"/>
      </top>
      <bottom style="hair">
        <color rgb="FFAEAEAE"/>
      </bottom>
      <diagonal/>
    </border>
    <border diagonalUp="1">
      <left style="hair">
        <color rgb="FFAEAEAE"/>
      </left>
      <right style="thin">
        <color rgb="FFAEAEAE"/>
      </right>
      <top style="thin">
        <color rgb="FFAEAEAE"/>
      </top>
      <bottom style="hair">
        <color rgb="FFAEAEAE"/>
      </bottom>
      <diagonal style="hair">
        <color rgb="FFAEAEAE"/>
      </diagonal>
    </border>
    <border>
      <left style="thin">
        <color rgb="FFAEAEAE"/>
      </left>
      <right/>
      <top style="thin">
        <color rgb="FFAEAEAE"/>
      </top>
      <bottom/>
      <diagonal/>
    </border>
    <border>
      <left/>
      <right style="thin">
        <color rgb="FFAEAEAE"/>
      </right>
      <top style="thin">
        <color rgb="FFAEAEAE"/>
      </top>
      <bottom/>
      <diagonal/>
    </border>
    <border>
      <left style="thin">
        <color rgb="FFAEAEAE"/>
      </left>
      <right style="thin">
        <color rgb="FFAEAEAE"/>
      </right>
      <top style="thin">
        <color rgb="FFAEAEAE"/>
      </top>
      <bottom/>
      <diagonal/>
    </border>
    <border>
      <left style="thin">
        <color rgb="FFAEAEAE"/>
      </left>
      <right/>
      <top style="thin">
        <color rgb="FFAEAEAE"/>
      </top>
      <bottom style="hair">
        <color rgb="FFAEAEAE"/>
      </bottom>
      <diagonal/>
    </border>
    <border>
      <left/>
      <right/>
      <top style="thin">
        <color rgb="FFAEAEAE"/>
      </top>
      <bottom style="hair">
        <color rgb="FFAEAEAE"/>
      </bottom>
      <diagonal/>
    </border>
    <border>
      <left/>
      <right style="thin">
        <color rgb="FFAEAEAE"/>
      </right>
      <top style="thin">
        <color rgb="FFAEAEAE"/>
      </top>
      <bottom style="hair">
        <color rgb="FFAEAEAE"/>
      </bottom>
      <diagonal/>
    </border>
    <border>
      <left style="thin">
        <color rgb="FFAEAEAE"/>
      </left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 style="thin">
        <color rgb="FFAEAEAE"/>
      </right>
      <top/>
      <bottom style="thick">
        <color theme="0" tint="-0.34998626667073579"/>
      </bottom>
      <diagonal/>
    </border>
    <border>
      <left style="thin">
        <color rgb="FFAEAEAE"/>
      </left>
      <right style="thin">
        <color rgb="FFAEAEAE"/>
      </right>
      <top/>
      <bottom style="thick">
        <color theme="0" tint="-0.34998626667073579"/>
      </bottom>
      <diagonal/>
    </border>
    <border>
      <left style="thin">
        <color rgb="FFAEAEAE"/>
      </left>
      <right style="hair">
        <color rgb="FFAEAEAE"/>
      </right>
      <top style="hair">
        <color rgb="FFAEAEAE"/>
      </top>
      <bottom style="thick">
        <color theme="0" tint="-0.34998626667073579"/>
      </bottom>
      <diagonal/>
    </border>
    <border>
      <left style="hair">
        <color rgb="FFAEAEAE"/>
      </left>
      <right style="hair">
        <color rgb="FFAEAEAE"/>
      </right>
      <top style="hair">
        <color rgb="FFAEAEAE"/>
      </top>
      <bottom style="thick">
        <color theme="0" tint="-0.34998626667073579"/>
      </bottom>
      <diagonal/>
    </border>
    <border>
      <left style="hair">
        <color rgb="FFAEAEAE"/>
      </left>
      <right style="thin">
        <color rgb="FFAEAEAE"/>
      </right>
      <top style="hair">
        <color rgb="FFAEAEAE"/>
      </top>
      <bottom style="thick">
        <color theme="0" tint="-0.34998626667073579"/>
      </bottom>
      <diagonal/>
    </border>
    <border>
      <left style="thin">
        <color rgb="FFAEAEAE"/>
      </left>
      <right/>
      <top/>
      <bottom style="thick">
        <color theme="0" tint="-0.34998626667073579"/>
      </bottom>
      <diagonal/>
    </border>
    <border>
      <left/>
      <right style="thin">
        <color rgb="FFAEAEAE"/>
      </right>
      <top/>
      <bottom style="thick">
        <color theme="0" tint="-0.34998626667073579"/>
      </bottom>
      <diagonal/>
    </border>
    <border>
      <left style="thin">
        <color rgb="FFAEAEAE"/>
      </left>
      <right style="hair">
        <color rgb="FFAEAEAE"/>
      </right>
      <top/>
      <bottom style="thick">
        <color theme="0" tint="-0.34998626667073579"/>
      </bottom>
      <diagonal/>
    </border>
    <border>
      <left style="hair">
        <color rgb="FFAEAEAE"/>
      </left>
      <right style="hair">
        <color rgb="FFAEAEAE"/>
      </right>
      <top/>
      <bottom style="thick">
        <color theme="0" tint="-0.34998626667073579"/>
      </bottom>
      <diagonal/>
    </border>
    <border>
      <left style="hair">
        <color rgb="FFAEAEAE"/>
      </left>
      <right/>
      <top/>
      <bottom style="thick">
        <color theme="0" tint="-0.34998626667073579"/>
      </bottom>
      <diagonal/>
    </border>
    <border>
      <left style="thin">
        <color rgb="FFAEAEAE"/>
      </left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n">
        <color rgb="FFAEAEAE"/>
      </left>
      <right style="thin">
        <color rgb="FFAEAEAE"/>
      </right>
      <top style="thin">
        <color rgb="FFAEAEAE"/>
      </top>
      <bottom style="dotted">
        <color rgb="FFAEAEAE"/>
      </bottom>
      <diagonal/>
    </border>
    <border diagonalUp="1">
      <left style="thin">
        <color rgb="FFAEAEAE"/>
      </left>
      <right style="thin">
        <color rgb="FFAEAEAE"/>
      </right>
      <top style="thin">
        <color rgb="FFAEAEAE"/>
      </top>
      <bottom style="dotted">
        <color rgb="FFAEAEAE"/>
      </bottom>
      <diagonal style="hair">
        <color rgb="FFAEAEAE"/>
      </diagonal>
    </border>
    <border>
      <left style="thin">
        <color rgb="FFAEAEAE"/>
      </left>
      <right/>
      <top style="thick">
        <color theme="0" tint="-0.34998626667073579"/>
      </top>
      <bottom/>
      <diagonal/>
    </border>
    <border>
      <left/>
      <right style="thin">
        <color rgb="FFAEAEAE"/>
      </right>
      <top style="thick">
        <color theme="0" tint="-0.34998626667073579"/>
      </top>
      <bottom/>
      <diagonal/>
    </border>
    <border>
      <left style="thin">
        <color rgb="FFAEAEAE"/>
      </left>
      <right style="thin">
        <color rgb="FFAEAEAE"/>
      </right>
      <top style="thick">
        <color theme="0" tint="-0.34998626667073579"/>
      </top>
      <bottom style="thin">
        <color rgb="FFAEAEAE"/>
      </bottom>
      <diagonal/>
    </border>
    <border>
      <left style="hair">
        <color rgb="FFAEAEAE"/>
      </left>
      <right style="hair">
        <color rgb="FFAEAEAE"/>
      </right>
      <top style="thin">
        <color rgb="FFAEAEAE"/>
      </top>
      <bottom style="thin">
        <color rgb="FFAEAEAE"/>
      </bottom>
      <diagonal/>
    </border>
    <border>
      <left style="hair">
        <color rgb="FFAEAEAE"/>
      </left>
      <right style="hair">
        <color rgb="FFAEAEAE"/>
      </right>
      <top style="thick">
        <color theme="0" tint="-0.34998626667073579"/>
      </top>
      <bottom style="thin">
        <color rgb="FFAEAEAE"/>
      </bottom>
      <diagonal/>
    </border>
    <border>
      <left style="hair">
        <color rgb="FFAEAEAE"/>
      </left>
      <right/>
      <top style="thick">
        <color theme="0" tint="-0.34998626667073579"/>
      </top>
      <bottom style="thin">
        <color rgb="FFAEAEAE"/>
      </bottom>
      <diagonal/>
    </border>
    <border>
      <left style="thin">
        <color rgb="FFAEAEAE"/>
      </left>
      <right style="thin">
        <color rgb="FFAEAEAE"/>
      </right>
      <top/>
      <bottom style="thin">
        <color rgb="FFAEAEAE"/>
      </bottom>
      <diagonal/>
    </border>
    <border>
      <left style="thin">
        <color rgb="FFAEAEAE"/>
      </left>
      <right style="thin">
        <color rgb="FFAEAEAE"/>
      </right>
      <top style="dotted">
        <color rgb="FFAEAEAE"/>
      </top>
      <bottom style="thin">
        <color rgb="FFAEAEAE"/>
      </bottom>
      <diagonal/>
    </border>
    <border>
      <left style="thin">
        <color rgb="FFAEAEAE"/>
      </left>
      <right/>
      <top/>
      <bottom style="thin">
        <color rgb="FFAEAEAE"/>
      </bottom>
      <diagonal/>
    </border>
    <border>
      <left/>
      <right style="thin">
        <color rgb="FFAEAEAE"/>
      </right>
      <top/>
      <bottom style="thin">
        <color rgb="FFAEAEAE"/>
      </bottom>
      <diagonal/>
    </border>
    <border>
      <left style="thin">
        <color rgb="FFAEAEAE"/>
      </left>
      <right style="thin">
        <color rgb="FFAEAEAE"/>
      </right>
      <top style="thin">
        <color rgb="FFAEAEAE"/>
      </top>
      <bottom style="thin">
        <color rgb="FFAEAEAE"/>
      </bottom>
      <diagonal/>
    </border>
    <border>
      <left style="hair">
        <color rgb="FFAEAEAE"/>
      </left>
      <right/>
      <top style="thin">
        <color rgb="FFAEAEAE"/>
      </top>
      <bottom style="thin">
        <color rgb="FFAEAEAE"/>
      </bottom>
      <diagonal/>
    </border>
    <border>
      <left style="thin">
        <color rgb="FFAEAEAE"/>
      </left>
      <right style="thick">
        <color theme="0" tint="-0.34998626667073579"/>
      </right>
      <top/>
      <bottom style="thin">
        <color rgb="FFAEAEAE"/>
      </bottom>
      <diagonal/>
    </border>
    <border>
      <left style="thick">
        <color theme="0" tint="-0.34998626667073579"/>
      </left>
      <right style="thin">
        <color rgb="FFAEAEAE"/>
      </right>
      <top style="thin">
        <color theme="0" tint="-0.34998626667073579"/>
      </top>
      <bottom/>
      <diagonal/>
    </border>
    <border>
      <left style="thin">
        <color rgb="FFAEAEAE"/>
      </left>
      <right style="hair">
        <color rgb="FFAEAEAE"/>
      </right>
      <top style="thin">
        <color rgb="FFAEAEAE"/>
      </top>
      <bottom style="thin">
        <color rgb="FFAEAEAE"/>
      </bottom>
      <diagonal/>
    </border>
    <border>
      <left style="thin">
        <color rgb="FFAEAEAE"/>
      </left>
      <right style="thick">
        <color theme="0" tint="-0.34998626667073579"/>
      </right>
      <top style="thin">
        <color rgb="FFAEAEAE"/>
      </top>
      <bottom/>
      <diagonal/>
    </border>
    <border>
      <left style="thick">
        <color theme="0" tint="-0.34998626667073579"/>
      </left>
      <right style="thin">
        <color rgb="FFAEAEAE"/>
      </right>
      <top/>
      <bottom style="thin">
        <color theme="0" tint="-0.34998626667073579"/>
      </bottom>
      <diagonal/>
    </border>
    <border>
      <left style="thin">
        <color rgb="FFAEAEAE"/>
      </left>
      <right style="hair">
        <color rgb="FFAEAEAE"/>
      </right>
      <top style="thick">
        <color theme="0" tint="-0.34998626667073579"/>
      </top>
      <bottom style="dotted">
        <color rgb="FFAEAEAE"/>
      </bottom>
      <diagonal/>
    </border>
    <border>
      <left style="hair">
        <color rgb="FFAEAEAE"/>
      </left>
      <right style="hair">
        <color rgb="FFAEAEAE"/>
      </right>
      <top style="thick">
        <color theme="0" tint="-0.34998626667073579"/>
      </top>
      <bottom style="dotted">
        <color rgb="FFAEAEAE"/>
      </bottom>
      <diagonal/>
    </border>
    <border diagonalUp="1">
      <left style="hair">
        <color rgb="FFAEAEAE"/>
      </left>
      <right style="thin">
        <color rgb="FFAEAEAE"/>
      </right>
      <top style="thick">
        <color theme="0" tint="-0.34998626667073579"/>
      </top>
      <bottom style="dotted">
        <color rgb="FFAEAEAE"/>
      </bottom>
      <diagonal style="hair">
        <color rgb="FFAEAEAE"/>
      </diagonal>
    </border>
    <border>
      <left style="thin">
        <color rgb="FFAEAEAE"/>
      </left>
      <right style="hair">
        <color rgb="FFAEAEAE"/>
      </right>
      <top style="thick">
        <color theme="0" tint="-0.34998626667073579"/>
      </top>
      <bottom/>
      <diagonal/>
    </border>
    <border>
      <left style="hair">
        <color rgb="FFAEAEAE"/>
      </left>
      <right style="hair">
        <color rgb="FFAEAEAE"/>
      </right>
      <top style="thick">
        <color theme="0" tint="-0.34998626667073579"/>
      </top>
      <bottom/>
      <diagonal/>
    </border>
    <border>
      <left style="hair">
        <color rgb="FFAEAEAE"/>
      </left>
      <right/>
      <top style="thick">
        <color theme="0" tint="-0.34998626667073579"/>
      </top>
      <bottom/>
      <diagonal/>
    </border>
    <border>
      <left style="thin">
        <color rgb="FFAEAEAE"/>
      </left>
      <right style="hair">
        <color rgb="FFAEAEAE"/>
      </right>
      <top style="dotted">
        <color rgb="FFAEAEAE"/>
      </top>
      <bottom style="thick">
        <color theme="0" tint="-0.34998626667073579"/>
      </bottom>
      <diagonal/>
    </border>
    <border>
      <left style="hair">
        <color rgb="FFAEAEAE"/>
      </left>
      <right style="hair">
        <color rgb="FFAEAEAE"/>
      </right>
      <top style="dotted">
        <color rgb="FFAEAEAE"/>
      </top>
      <bottom style="thick">
        <color theme="0" tint="-0.34998626667073579"/>
      </bottom>
      <diagonal/>
    </border>
    <border>
      <left style="hair">
        <color rgb="FFAEAEAE"/>
      </left>
      <right style="thin">
        <color rgb="FFAEAEAE"/>
      </right>
      <top style="dotted">
        <color rgb="FFAEAEAE"/>
      </top>
      <bottom style="thick">
        <color theme="0" tint="-0.34998626667073579"/>
      </bottom>
      <diagonal/>
    </border>
    <border>
      <left style="thin">
        <color rgb="FFAEAEAE"/>
      </left>
      <right style="thin">
        <color rgb="FFAEAEAE"/>
      </right>
      <top style="thin">
        <color theme="0" tint="-0.34998626667073579"/>
      </top>
      <bottom/>
      <diagonal/>
    </border>
    <border>
      <left style="thin">
        <color rgb="FFAEAEAE"/>
      </left>
      <right style="thin">
        <color rgb="FFAEAEAE"/>
      </right>
      <top style="thin">
        <color theme="0" tint="-0.34998626667073579"/>
      </top>
      <bottom style="dotted">
        <color rgb="FFAEAEAE"/>
      </bottom>
      <diagonal/>
    </border>
    <border>
      <left style="thin">
        <color rgb="FFAEAEAE"/>
      </left>
      <right/>
      <top style="thin">
        <color theme="0" tint="-0.34998626667073579"/>
      </top>
      <bottom/>
      <diagonal/>
    </border>
    <border>
      <left/>
      <right style="thin">
        <color rgb="FFAEAEAE"/>
      </right>
      <top style="thin">
        <color theme="0" tint="-0.34998626667073579"/>
      </top>
      <bottom/>
      <diagonal/>
    </border>
    <border>
      <left style="thin">
        <color rgb="FFAEAEAE"/>
      </left>
      <right style="thin">
        <color rgb="FFAEAEAE"/>
      </right>
      <top/>
      <bottom style="thin">
        <color theme="0" tint="-0.34998626667073579"/>
      </bottom>
      <diagonal/>
    </border>
    <border>
      <left style="thin">
        <color rgb="FFAEAEAE"/>
      </left>
      <right style="thin">
        <color rgb="FFAEAEAE"/>
      </right>
      <top style="dotted">
        <color rgb="FFAEAEAE"/>
      </top>
      <bottom style="thin">
        <color theme="0" tint="-0.34998626667073579"/>
      </bottom>
      <diagonal/>
    </border>
    <border>
      <left style="thin">
        <color rgb="FFAEAEAE"/>
      </left>
      <right/>
      <top/>
      <bottom style="thin">
        <color theme="0" tint="-0.34998626667073579"/>
      </bottom>
      <diagonal/>
    </border>
    <border>
      <left/>
      <right style="thin">
        <color rgb="FFAEAEAE"/>
      </right>
      <top/>
      <bottom style="thin">
        <color theme="0" tint="-0.34998626667073579"/>
      </bottom>
      <diagonal/>
    </border>
    <border>
      <left style="thin">
        <color rgb="FFAEAEAE"/>
      </left>
      <right style="thin">
        <color rgb="FFAEAEAE"/>
      </right>
      <top style="thin">
        <color theme="0" tint="-0.34998626667073579"/>
      </top>
      <bottom style="hair">
        <color rgb="FFAEAEAE"/>
      </bottom>
      <diagonal/>
    </border>
    <border>
      <left style="thin">
        <color rgb="FFAEAEAE"/>
      </left>
      <right style="thin">
        <color rgb="FFAEAEAE"/>
      </right>
      <top style="hair">
        <color rgb="FFAEAEAE"/>
      </top>
      <bottom style="thin">
        <color theme="0" tint="-0.34998626667073579"/>
      </bottom>
      <diagonal/>
    </border>
    <border>
      <left style="thin">
        <color rgb="FFAEAEAE"/>
      </left>
      <right style="thin">
        <color rgb="FFAEAEAE"/>
      </right>
      <top/>
      <bottom style="dotted">
        <color rgb="FFAEAEAE"/>
      </bottom>
      <diagonal/>
    </border>
    <border>
      <left style="thin">
        <color rgb="FFAEAEAE"/>
      </left>
      <right/>
      <top/>
      <bottom/>
      <diagonal/>
    </border>
    <border>
      <left/>
      <right style="thin">
        <color rgb="FFAEAEAE"/>
      </right>
      <top/>
      <bottom/>
      <diagonal/>
    </border>
    <border>
      <left style="thin">
        <color rgb="FFAEAEAE"/>
      </left>
      <right style="thin">
        <color rgb="FFAEAEAE"/>
      </right>
      <top style="dotted">
        <color rgb="FFAEAEAE"/>
      </top>
      <bottom style="thick">
        <color theme="0" tint="-0.34998626667073579"/>
      </bottom>
      <diagonal/>
    </border>
    <border>
      <left style="thick">
        <color theme="0" tint="-0.34998626667073579"/>
      </left>
      <right style="thin">
        <color rgb="FFAEAEAE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AEAEAE"/>
      </left>
      <right style="thin">
        <color rgb="FFAEAEAE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AEAEAE"/>
      </left>
      <right style="thin">
        <color rgb="FFAEAEAE"/>
      </right>
      <top style="thin">
        <color theme="0" tint="-0.24994659260841701"/>
      </top>
      <bottom/>
      <diagonal/>
    </border>
    <border>
      <left/>
      <right style="thin">
        <color rgb="FFAEAEAE"/>
      </right>
      <top style="thin">
        <color theme="0" tint="-0.24994659260841701"/>
      </top>
      <bottom/>
      <diagonal/>
    </border>
    <border>
      <left style="thin">
        <color rgb="FFAEAEAE"/>
      </left>
      <right style="thin">
        <color rgb="FFAEAEAE"/>
      </right>
      <top/>
      <bottom style="thin">
        <color theme="0" tint="-0.24994659260841701"/>
      </bottom>
      <diagonal/>
    </border>
    <border>
      <left/>
      <right style="thin">
        <color rgb="FFAEAEAE"/>
      </right>
      <top/>
      <bottom style="thin">
        <color theme="0" tint="-0.24994659260841701"/>
      </bottom>
      <diagonal/>
    </border>
    <border>
      <left style="thin">
        <color rgb="FFAEAEAE"/>
      </left>
      <right style="thin">
        <color rgb="FFAEAEAE"/>
      </right>
      <top style="dotted">
        <color rgb="FFAEAEAE"/>
      </top>
      <bottom/>
      <diagonal/>
    </border>
    <border>
      <left/>
      <right style="dotted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81">
    <xf numFmtId="0" fontId="0" fillId="0" borderId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/>
    <xf numFmtId="177" fontId="17" fillId="0" borderId="0" applyFont="0" applyFill="0" applyBorder="0" applyAlignment="0" applyProtection="0"/>
    <xf numFmtId="41" fontId="20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4" fillId="0" borderId="0">
      <alignment vertical="center"/>
    </xf>
    <xf numFmtId="0" fontId="14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6" fillId="0" borderId="0"/>
    <xf numFmtId="0" fontId="1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41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0" borderId="0"/>
    <xf numFmtId="0" fontId="14" fillId="0" borderId="0"/>
    <xf numFmtId="41" fontId="10" fillId="0" borderId="0" applyFont="0" applyFill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4" fillId="0" borderId="0"/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/>
    <xf numFmtId="41" fontId="2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36">
    <xf numFmtId="0" fontId="0" fillId="0" borderId="0" xfId="0"/>
    <xf numFmtId="0" fontId="28" fillId="0" borderId="0" xfId="9" applyFont="1" applyAlignment="1">
      <alignment horizontal="center" vertical="center"/>
    </xf>
    <xf numFmtId="0" fontId="28" fillId="0" borderId="0" xfId="9" applyFont="1" applyAlignment="1">
      <alignment vertical="center"/>
    </xf>
    <xf numFmtId="0" fontId="28" fillId="0" borderId="0" xfId="9" applyFont="1" applyAlignment="1">
      <alignment horizontal="left" vertical="center"/>
    </xf>
    <xf numFmtId="0" fontId="31" fillId="0" borderId="0" xfId="9" applyFont="1" applyAlignment="1">
      <alignment vertical="center"/>
    </xf>
    <xf numFmtId="0" fontId="30" fillId="3" borderId="37" xfId="11" applyFont="1" applyFill="1" applyBorder="1" applyAlignment="1">
      <alignment horizontal="center" vertical="center"/>
    </xf>
    <xf numFmtId="0" fontId="30" fillId="3" borderId="38" xfId="11" applyFont="1" applyFill="1" applyBorder="1" applyAlignment="1">
      <alignment horizontal="center" vertical="center"/>
    </xf>
    <xf numFmtId="0" fontId="33" fillId="3" borderId="39" xfId="11" applyFont="1" applyFill="1" applyBorder="1" applyAlignment="1">
      <alignment horizontal="center" vertical="center"/>
    </xf>
    <xf numFmtId="20" fontId="34" fillId="3" borderId="40" xfId="11" applyNumberFormat="1" applyFont="1" applyFill="1" applyBorder="1" applyAlignment="1">
      <alignment horizontal="center" vertical="center"/>
    </xf>
    <xf numFmtId="0" fontId="33" fillId="3" borderId="44" xfId="11" applyFont="1" applyFill="1" applyBorder="1" applyAlignment="1">
      <alignment horizontal="center" vertical="center"/>
    </xf>
    <xf numFmtId="20" fontId="34" fillId="3" borderId="45" xfId="11" applyNumberFormat="1" applyFont="1" applyFill="1" applyBorder="1" applyAlignment="1">
      <alignment horizontal="center" vertical="center"/>
    </xf>
    <xf numFmtId="0" fontId="33" fillId="3" borderId="46" xfId="11" applyFont="1" applyFill="1" applyBorder="1" applyAlignment="1">
      <alignment horizontal="center" vertical="center"/>
    </xf>
    <xf numFmtId="0" fontId="33" fillId="3" borderId="47" xfId="11" applyFont="1" applyFill="1" applyBorder="1" applyAlignment="1">
      <alignment horizontal="center" vertical="center"/>
    </xf>
    <xf numFmtId="0" fontId="30" fillId="0" borderId="48" xfId="11" applyFont="1" applyBorder="1" applyAlignment="1">
      <alignment horizontal="center" vertical="center"/>
    </xf>
    <xf numFmtId="0" fontId="35" fillId="0" borderId="53" xfId="11" applyFont="1" applyBorder="1" applyAlignment="1">
      <alignment horizontal="center" vertical="center"/>
    </xf>
    <xf numFmtId="0" fontId="30" fillId="0" borderId="0" xfId="11" applyFont="1" applyAlignment="1">
      <alignment horizontal="center" vertical="center"/>
    </xf>
    <xf numFmtId="0" fontId="30" fillId="0" borderId="54" xfId="11" applyFont="1" applyBorder="1" applyAlignment="1">
      <alignment horizontal="center" vertical="center"/>
    </xf>
    <xf numFmtId="0" fontId="35" fillId="0" borderId="58" xfId="11" applyFont="1" applyBorder="1" applyAlignment="1">
      <alignment horizontal="center" vertical="center"/>
    </xf>
    <xf numFmtId="0" fontId="30" fillId="0" borderId="59" xfId="11" applyFont="1" applyBorder="1" applyAlignment="1">
      <alignment horizontal="center" vertical="center"/>
    </xf>
    <xf numFmtId="0" fontId="30" fillId="0" borderId="44" xfId="11" applyFont="1" applyBorder="1" applyAlignment="1">
      <alignment horizontal="center" vertical="center"/>
    </xf>
    <xf numFmtId="0" fontId="35" fillId="0" borderId="62" xfId="11" applyFont="1" applyBorder="1" applyAlignment="1">
      <alignment horizontal="center" vertical="center"/>
    </xf>
    <xf numFmtId="0" fontId="30" fillId="3" borderId="65" xfId="11" applyFont="1" applyFill="1" applyBorder="1" applyAlignment="1">
      <alignment horizontal="center" vertical="center"/>
    </xf>
    <xf numFmtId="0" fontId="33" fillId="3" borderId="48" xfId="11" applyFont="1" applyFill="1" applyBorder="1" applyAlignment="1">
      <alignment horizontal="center" vertical="center"/>
    </xf>
    <xf numFmtId="20" fontId="34" fillId="3" borderId="49" xfId="11" applyNumberFormat="1" applyFont="1" applyFill="1" applyBorder="1" applyAlignment="1">
      <alignment horizontal="center" vertical="center"/>
    </xf>
    <xf numFmtId="0" fontId="35" fillId="0" borderId="68" xfId="11" applyFont="1" applyBorder="1" applyAlignment="1">
      <alignment horizontal="center" vertical="center"/>
    </xf>
    <xf numFmtId="0" fontId="45" fillId="0" borderId="25" xfId="9" applyFont="1" applyBorder="1" applyAlignment="1">
      <alignment vertical="center"/>
    </xf>
    <xf numFmtId="0" fontId="45" fillId="0" borderId="1" xfId="9" applyFont="1" applyBorder="1" applyAlignment="1">
      <alignment vertical="center"/>
    </xf>
    <xf numFmtId="0" fontId="0" fillId="0" borderId="0" xfId="0" applyAlignment="1">
      <alignment vertical="center"/>
    </xf>
    <xf numFmtId="0" fontId="47" fillId="8" borderId="129" xfId="0" applyFont="1" applyFill="1" applyBorder="1" applyAlignment="1">
      <alignment horizontal="center" vertical="center" wrapText="1"/>
    </xf>
    <xf numFmtId="0" fontId="49" fillId="0" borderId="0" xfId="0" applyFont="1" applyAlignment="1">
      <alignment vertical="center"/>
    </xf>
    <xf numFmtId="0" fontId="29" fillId="0" borderId="0" xfId="9" applyFont="1" applyAlignment="1">
      <alignment vertical="center"/>
    </xf>
    <xf numFmtId="0" fontId="47" fillId="8" borderId="134" xfId="0" applyFont="1" applyFill="1" applyBorder="1" applyAlignment="1">
      <alignment horizontal="center" vertical="center" wrapText="1"/>
    </xf>
    <xf numFmtId="0" fontId="48" fillId="8" borderId="141" xfId="0" applyFont="1" applyFill="1" applyBorder="1" applyAlignment="1">
      <alignment horizontal="center" vertical="center" wrapText="1"/>
    </xf>
    <xf numFmtId="0" fontId="48" fillId="8" borderId="142" xfId="0" applyFont="1" applyFill="1" applyBorder="1" applyAlignment="1">
      <alignment horizontal="center" vertical="center" wrapText="1"/>
    </xf>
    <xf numFmtId="0" fontId="44" fillId="0" borderId="39" xfId="11" applyFont="1" applyBorder="1" applyAlignment="1">
      <alignment horizontal="center" vertical="center"/>
    </xf>
    <xf numFmtId="0" fontId="44" fillId="0" borderId="44" xfId="11" applyFont="1" applyBorder="1" applyAlignment="1">
      <alignment horizontal="center" vertical="center"/>
    </xf>
    <xf numFmtId="20" fontId="28" fillId="0" borderId="0" xfId="9" applyNumberFormat="1" applyFont="1" applyAlignment="1">
      <alignment horizontal="center" vertical="center"/>
    </xf>
    <xf numFmtId="189" fontId="34" fillId="0" borderId="25" xfId="9" applyNumberFormat="1" applyFont="1" applyBorder="1" applyAlignment="1">
      <alignment vertical="center"/>
    </xf>
    <xf numFmtId="0" fontId="30" fillId="3" borderId="108" xfId="11" applyFont="1" applyFill="1" applyBorder="1" applyAlignment="1">
      <alignment horizontal="center" vertical="center"/>
    </xf>
    <xf numFmtId="0" fontId="30" fillId="3" borderId="82" xfId="11" applyFont="1" applyFill="1" applyBorder="1" applyAlignment="1">
      <alignment horizontal="center" vertical="center"/>
    </xf>
    <xf numFmtId="0" fontId="44" fillId="0" borderId="34" xfId="11" applyFont="1" applyBorder="1" applyAlignment="1">
      <alignment horizontal="center" vertical="center"/>
    </xf>
    <xf numFmtId="0" fontId="30" fillId="3" borderId="76" xfId="11" applyFont="1" applyFill="1" applyBorder="1" applyAlignment="1">
      <alignment horizontal="center" vertical="center"/>
    </xf>
    <xf numFmtId="0" fontId="30" fillId="3" borderId="76" xfId="11" applyFont="1" applyFill="1" applyBorder="1" applyAlignment="1">
      <alignment horizontal="center" vertical="center" shrinkToFit="1"/>
    </xf>
    <xf numFmtId="0" fontId="30" fillId="3" borderId="80" xfId="11" applyFont="1" applyFill="1" applyBorder="1" applyAlignment="1">
      <alignment horizontal="center" vertical="center"/>
    </xf>
    <xf numFmtId="0" fontId="30" fillId="3" borderId="137" xfId="11" applyFont="1" applyFill="1" applyBorder="1" applyAlignment="1">
      <alignment horizontal="center" vertical="center"/>
    </xf>
    <xf numFmtId="0" fontId="33" fillId="3" borderId="37" xfId="11" applyFont="1" applyFill="1" applyBorder="1" applyAlignment="1">
      <alignment horizontal="center" vertical="center"/>
    </xf>
    <xf numFmtId="0" fontId="30" fillId="3" borderId="117" xfId="11" applyFont="1" applyFill="1" applyBorder="1" applyAlignment="1">
      <alignment horizontal="center" vertical="center"/>
    </xf>
    <xf numFmtId="0" fontId="30" fillId="3" borderId="145" xfId="11" applyFont="1" applyFill="1" applyBorder="1" applyAlignment="1">
      <alignment horizontal="center" vertical="center"/>
    </xf>
    <xf numFmtId="0" fontId="33" fillId="3" borderId="33" xfId="11" applyFont="1" applyFill="1" applyBorder="1" applyAlignment="1">
      <alignment horizontal="center" vertical="center"/>
    </xf>
    <xf numFmtId="0" fontId="33" fillId="3" borderId="17" xfId="11" applyFont="1" applyFill="1" applyBorder="1" applyAlignment="1">
      <alignment horizontal="center" vertical="center"/>
    </xf>
    <xf numFmtId="0" fontId="33" fillId="3" borderId="18" xfId="11" applyFont="1" applyFill="1" applyBorder="1" applyAlignment="1">
      <alignment horizontal="center" vertical="center"/>
    </xf>
    <xf numFmtId="2" fontId="33" fillId="0" borderId="0" xfId="11" applyNumberFormat="1" applyFont="1" applyAlignment="1">
      <alignment horizontal="center" vertical="center"/>
    </xf>
    <xf numFmtId="20" fontId="34" fillId="3" borderId="46" xfId="11" applyNumberFormat="1" applyFont="1" applyFill="1" applyBorder="1" applyAlignment="1">
      <alignment horizontal="center" vertical="center"/>
    </xf>
    <xf numFmtId="20" fontId="34" fillId="3" borderId="41" xfId="11" applyNumberFormat="1" applyFont="1" applyFill="1" applyBorder="1" applyAlignment="1">
      <alignment horizontal="center" vertical="center"/>
    </xf>
    <xf numFmtId="0" fontId="33" fillId="3" borderId="38" xfId="11" applyFont="1" applyFill="1" applyBorder="1" applyAlignment="1">
      <alignment horizontal="center" vertical="center"/>
    </xf>
    <xf numFmtId="20" fontId="34" fillId="3" borderId="122" xfId="11" applyNumberFormat="1" applyFont="1" applyFill="1" applyBorder="1" applyAlignment="1">
      <alignment horizontal="center" vertical="center"/>
    </xf>
    <xf numFmtId="20" fontId="34" fillId="3" borderId="103" xfId="11" applyNumberFormat="1" applyFont="1" applyFill="1" applyBorder="1" applyAlignment="1">
      <alignment horizontal="center" vertical="center"/>
    </xf>
    <xf numFmtId="191" fontId="35" fillId="0" borderId="51" xfId="11" applyNumberFormat="1" applyFont="1" applyBorder="1" applyAlignment="1">
      <alignment horizontal="center" vertical="center"/>
    </xf>
    <xf numFmtId="191" fontId="35" fillId="0" borderId="49" xfId="11" applyNumberFormat="1" applyFont="1" applyBorder="1" applyAlignment="1">
      <alignment horizontal="center" vertical="center"/>
    </xf>
    <xf numFmtId="191" fontId="35" fillId="0" borderId="4" xfId="11" applyNumberFormat="1" applyFont="1" applyBorder="1" applyAlignment="1">
      <alignment horizontal="center" vertical="center"/>
    </xf>
    <xf numFmtId="191" fontId="34" fillId="0" borderId="4" xfId="11" applyNumberFormat="1" applyFont="1" applyBorder="1" applyAlignment="1">
      <alignment horizontal="center" vertical="center"/>
    </xf>
    <xf numFmtId="191" fontId="35" fillId="0" borderId="52" xfId="11" applyNumberFormat="1" applyFont="1" applyBorder="1" applyAlignment="1">
      <alignment horizontal="center" vertical="center"/>
    </xf>
    <xf numFmtId="191" fontId="35" fillId="0" borderId="56" xfId="11" applyNumberFormat="1" applyFont="1" applyBorder="1" applyAlignment="1">
      <alignment horizontal="center" vertical="center"/>
    </xf>
    <xf numFmtId="191" fontId="35" fillId="0" borderId="55" xfId="11" applyNumberFormat="1" applyFont="1" applyBorder="1" applyAlignment="1">
      <alignment horizontal="center" vertical="center"/>
    </xf>
    <xf numFmtId="191" fontId="35" fillId="0" borderId="3" xfId="11" applyNumberFormat="1" applyFont="1" applyBorder="1" applyAlignment="1">
      <alignment horizontal="center" vertical="center"/>
    </xf>
    <xf numFmtId="191" fontId="35" fillId="0" borderId="57" xfId="11" applyNumberFormat="1" applyFont="1" applyBorder="1" applyAlignment="1">
      <alignment horizontal="center" vertical="center"/>
    </xf>
    <xf numFmtId="191" fontId="35" fillId="0" borderId="19" xfId="11" applyNumberFormat="1" applyFont="1" applyBorder="1" applyAlignment="1">
      <alignment horizontal="center" vertical="center"/>
    </xf>
    <xf numFmtId="191" fontId="35" fillId="0" borderId="60" xfId="11" applyNumberFormat="1" applyFont="1" applyBorder="1" applyAlignment="1">
      <alignment horizontal="center" vertical="center"/>
    </xf>
    <xf numFmtId="191" fontId="35" fillId="0" borderId="12" xfId="11" applyNumberFormat="1" applyFont="1" applyBorder="1" applyAlignment="1">
      <alignment horizontal="center" vertical="center"/>
    </xf>
    <xf numFmtId="191" fontId="35" fillId="0" borderId="20" xfId="11" applyNumberFormat="1" applyFont="1" applyBorder="1" applyAlignment="1">
      <alignment horizontal="center" vertical="center"/>
    </xf>
    <xf numFmtId="191" fontId="35" fillId="0" borderId="46" xfId="11" applyNumberFormat="1" applyFont="1" applyBorder="1" applyAlignment="1">
      <alignment horizontal="center" vertical="center"/>
    </xf>
    <xf numFmtId="191" fontId="35" fillId="0" borderId="45" xfId="11" applyNumberFormat="1" applyFont="1" applyBorder="1" applyAlignment="1">
      <alignment horizontal="center" vertical="center"/>
    </xf>
    <xf numFmtId="191" fontId="35" fillId="0" borderId="14" xfId="11" applyNumberFormat="1" applyFont="1" applyBorder="1" applyAlignment="1">
      <alignment horizontal="center" vertical="center"/>
    </xf>
    <xf numFmtId="191" fontId="35" fillId="0" borderId="47" xfId="11" applyNumberFormat="1" applyFont="1" applyBorder="1" applyAlignment="1">
      <alignment horizontal="center" vertical="center"/>
    </xf>
    <xf numFmtId="191" fontId="69" fillId="0" borderId="41" xfId="11" applyNumberFormat="1" applyFont="1" applyBorder="1" applyAlignment="1">
      <alignment horizontal="center" vertical="center"/>
    </xf>
    <xf numFmtId="191" fontId="69" fillId="0" borderId="40" xfId="11" applyNumberFormat="1" applyFont="1" applyBorder="1" applyAlignment="1">
      <alignment horizontal="center" vertical="center"/>
    </xf>
    <xf numFmtId="191" fontId="69" fillId="0" borderId="2" xfId="11" applyNumberFormat="1" applyFont="1" applyBorder="1" applyAlignment="1">
      <alignment horizontal="center" vertical="center"/>
    </xf>
    <xf numFmtId="191" fontId="69" fillId="0" borderId="42" xfId="11" applyNumberFormat="1" applyFont="1" applyBorder="1" applyAlignment="1">
      <alignment horizontal="center" vertical="center"/>
    </xf>
    <xf numFmtId="191" fontId="69" fillId="0" borderId="46" xfId="11" applyNumberFormat="1" applyFont="1" applyBorder="1" applyAlignment="1">
      <alignment horizontal="center" vertical="center"/>
    </xf>
    <xf numFmtId="191" fontId="69" fillId="0" borderId="14" xfId="11" applyNumberFormat="1" applyFont="1" applyBorder="1" applyAlignment="1">
      <alignment horizontal="center" vertical="center"/>
    </xf>
    <xf numFmtId="191" fontId="69" fillId="0" borderId="61" xfId="11" applyNumberFormat="1" applyFont="1" applyBorder="1" applyAlignment="1">
      <alignment horizontal="center" vertical="center"/>
    </xf>
    <xf numFmtId="191" fontId="69" fillId="0" borderId="47" xfId="11" applyNumberFormat="1" applyFont="1" applyBorder="1" applyAlignment="1">
      <alignment horizontal="center" vertical="center"/>
    </xf>
    <xf numFmtId="191" fontId="69" fillId="0" borderId="22" xfId="11" applyNumberFormat="1" applyFont="1" applyBorder="1" applyAlignment="1">
      <alignment horizontal="center" vertical="center"/>
    </xf>
    <xf numFmtId="191" fontId="69" fillId="0" borderId="7" xfId="11" applyNumberFormat="1" applyFont="1" applyBorder="1" applyAlignment="1">
      <alignment horizontal="center" vertical="center"/>
    </xf>
    <xf numFmtId="191" fontId="69" fillId="0" borderId="67" xfId="11" applyNumberFormat="1" applyFont="1" applyBorder="1" applyAlignment="1">
      <alignment horizontal="center" vertical="center"/>
    </xf>
    <xf numFmtId="191" fontId="65" fillId="0" borderId="51" xfId="11" applyNumberFormat="1" applyFont="1" applyBorder="1" applyAlignment="1">
      <alignment horizontal="center" vertical="center"/>
    </xf>
    <xf numFmtId="0" fontId="65" fillId="0" borderId="52" xfId="11" applyFont="1" applyBorder="1" applyAlignment="1">
      <alignment horizontal="center" vertical="center"/>
    </xf>
    <xf numFmtId="191" fontId="65" fillId="0" borderId="56" xfId="11" applyNumberFormat="1" applyFont="1" applyBorder="1" applyAlignment="1">
      <alignment horizontal="center" vertical="center"/>
    </xf>
    <xf numFmtId="0" fontId="65" fillId="0" borderId="57" xfId="11" applyFont="1" applyBorder="1" applyAlignment="1">
      <alignment horizontal="center" vertical="center"/>
    </xf>
    <xf numFmtId="0" fontId="65" fillId="0" borderId="51" xfId="11" applyFont="1" applyBorder="1" applyAlignment="1">
      <alignment horizontal="center" vertical="center"/>
    </xf>
    <xf numFmtId="0" fontId="65" fillId="0" borderId="19" xfId="11" applyFont="1" applyBorder="1" applyAlignment="1">
      <alignment horizontal="center" vertical="center"/>
    </xf>
    <xf numFmtId="0" fontId="65" fillId="0" borderId="20" xfId="11" applyFont="1" applyBorder="1" applyAlignment="1">
      <alignment horizontal="center" vertical="center"/>
    </xf>
    <xf numFmtId="0" fontId="65" fillId="0" borderId="46" xfId="11" applyFont="1" applyBorder="1" applyAlignment="1">
      <alignment horizontal="center" vertical="center"/>
    </xf>
    <xf numFmtId="0" fontId="65" fillId="0" borderId="47" xfId="11" applyFont="1" applyBorder="1" applyAlignment="1">
      <alignment horizontal="center" vertical="center"/>
    </xf>
    <xf numFmtId="0" fontId="65" fillId="0" borderId="41" xfId="11" applyFont="1" applyBorder="1" applyAlignment="1">
      <alignment horizontal="center" vertical="center"/>
    </xf>
    <xf numFmtId="0" fontId="65" fillId="0" borderId="42" xfId="11" applyFont="1" applyBorder="1" applyAlignment="1">
      <alignment horizontal="center" vertical="center"/>
    </xf>
    <xf numFmtId="0" fontId="66" fillId="3" borderId="51" xfId="11" applyFont="1" applyFill="1" applyBorder="1" applyAlignment="1">
      <alignment horizontal="center" vertical="center"/>
    </xf>
    <xf numFmtId="0" fontId="66" fillId="3" borderId="52" xfId="11" applyFont="1" applyFill="1" applyBorder="1" applyAlignment="1">
      <alignment horizontal="center" vertical="center"/>
    </xf>
    <xf numFmtId="0" fontId="66" fillId="3" borderId="46" xfId="11" applyFont="1" applyFill="1" applyBorder="1" applyAlignment="1">
      <alignment horizontal="center" vertical="center"/>
    </xf>
    <xf numFmtId="0" fontId="66" fillId="3" borderId="47" xfId="11" applyFont="1" applyFill="1" applyBorder="1" applyAlignment="1">
      <alignment horizontal="center" vertical="center"/>
    </xf>
    <xf numFmtId="0" fontId="65" fillId="0" borderId="56" xfId="11" applyFont="1" applyBorder="1" applyAlignment="1">
      <alignment horizontal="center" vertical="center"/>
    </xf>
    <xf numFmtId="0" fontId="65" fillId="0" borderId="22" xfId="11" applyFont="1" applyBorder="1" applyAlignment="1">
      <alignment horizontal="center" vertical="center"/>
    </xf>
    <xf numFmtId="0" fontId="65" fillId="0" borderId="23" xfId="11" applyFont="1" applyBorder="1" applyAlignment="1">
      <alignment horizontal="center" vertical="center"/>
    </xf>
    <xf numFmtId="0" fontId="26" fillId="0" borderId="0" xfId="9" applyFont="1" applyAlignment="1">
      <alignment horizontal="center" vertical="center"/>
    </xf>
    <xf numFmtId="20" fontId="34" fillId="3" borderId="17" xfId="11" applyNumberFormat="1" applyFont="1" applyFill="1" applyBorder="1" applyAlignment="1">
      <alignment horizontal="center" vertical="center"/>
    </xf>
    <xf numFmtId="20" fontId="34" fillId="3" borderId="100" xfId="11" applyNumberFormat="1" applyFont="1" applyFill="1" applyBorder="1" applyAlignment="1">
      <alignment horizontal="center" vertical="center"/>
    </xf>
    <xf numFmtId="191" fontId="69" fillId="0" borderId="23" xfId="11" applyNumberFormat="1" applyFont="1" applyBorder="1" applyAlignment="1">
      <alignment horizontal="center" vertical="center"/>
    </xf>
    <xf numFmtId="3" fontId="74" fillId="11" borderId="12" xfId="0" applyNumberFormat="1" applyFont="1" applyFill="1" applyBorder="1" applyAlignment="1">
      <alignment horizontal="center" vertical="center" wrapText="1"/>
    </xf>
    <xf numFmtId="3" fontId="74" fillId="0" borderId="12" xfId="0" applyNumberFormat="1" applyFont="1" applyBorder="1" applyAlignment="1">
      <alignment horizontal="center" vertical="center" wrapText="1"/>
    </xf>
    <xf numFmtId="0" fontId="88" fillId="0" borderId="0" xfId="0" applyFont="1"/>
    <xf numFmtId="0" fontId="29" fillId="0" borderId="0" xfId="9" applyFont="1" applyAlignment="1">
      <alignment horizontal="center" vertical="center"/>
    </xf>
    <xf numFmtId="0" fontId="33" fillId="0" borderId="0" xfId="11" applyFont="1" applyAlignment="1">
      <alignment horizontal="center" vertical="center"/>
    </xf>
    <xf numFmtId="0" fontId="74" fillId="11" borderId="12" xfId="0" applyFont="1" applyFill="1" applyBorder="1" applyAlignment="1">
      <alignment horizontal="center" vertical="center" wrapText="1"/>
    </xf>
    <xf numFmtId="41" fontId="74" fillId="11" borderId="12" xfId="1" applyFont="1" applyFill="1" applyBorder="1" applyAlignment="1">
      <alignment horizontal="center" vertical="center" wrapText="1"/>
    </xf>
    <xf numFmtId="0" fontId="14" fillId="0" borderId="0" xfId="9" applyAlignment="1">
      <alignment vertical="center"/>
    </xf>
    <xf numFmtId="0" fontId="49" fillId="0" borderId="0" xfId="9" applyFont="1" applyAlignment="1">
      <alignment vertical="center"/>
    </xf>
    <xf numFmtId="0" fontId="25" fillId="0" borderId="0" xfId="35" applyFont="1">
      <alignment vertical="center"/>
    </xf>
    <xf numFmtId="0" fontId="28" fillId="0" borderId="0" xfId="35" applyFont="1" applyAlignment="1"/>
    <xf numFmtId="0" fontId="59" fillId="0" borderId="0" xfId="35" applyFont="1" applyAlignment="1">
      <alignment horizontal="right" vertical="center"/>
    </xf>
    <xf numFmtId="0" fontId="43" fillId="0" borderId="0" xfId="35" applyFont="1" applyAlignment="1">
      <alignment vertical="center" wrapText="1"/>
    </xf>
    <xf numFmtId="0" fontId="37" fillId="0" borderId="0" xfId="35" applyFont="1" applyAlignment="1">
      <alignment horizontal="right" vertical="center"/>
    </xf>
    <xf numFmtId="0" fontId="56" fillId="0" borderId="0" xfId="35" applyFont="1">
      <alignment vertical="center"/>
    </xf>
    <xf numFmtId="0" fontId="55" fillId="0" borderId="0" xfId="35" applyFont="1">
      <alignment vertical="center"/>
    </xf>
    <xf numFmtId="0" fontId="37" fillId="0" borderId="0" xfId="35" applyFont="1">
      <alignment vertical="center"/>
    </xf>
    <xf numFmtId="0" fontId="27" fillId="0" borderId="0" xfId="35" applyFont="1">
      <alignment vertical="center"/>
    </xf>
    <xf numFmtId="0" fontId="6" fillId="0" borderId="0" xfId="35">
      <alignment vertical="center"/>
    </xf>
    <xf numFmtId="180" fontId="45" fillId="5" borderId="25" xfId="35" applyNumberFormat="1" applyFont="1" applyFill="1" applyBorder="1" applyAlignment="1">
      <alignment horizontal="center" vertical="center"/>
    </xf>
    <xf numFmtId="0" fontId="33" fillId="14" borderId="33" xfId="11" applyFont="1" applyFill="1" applyBorder="1" applyAlignment="1">
      <alignment horizontal="center" vertical="center"/>
    </xf>
    <xf numFmtId="190" fontId="33" fillId="14" borderId="17" xfId="11" applyNumberFormat="1" applyFont="1" applyFill="1" applyBorder="1" applyAlignment="1">
      <alignment horizontal="center" vertical="center"/>
    </xf>
    <xf numFmtId="190" fontId="33" fillId="14" borderId="10" xfId="11" applyNumberFormat="1" applyFont="1" applyFill="1" applyBorder="1" applyAlignment="1">
      <alignment horizontal="center" vertical="center"/>
    </xf>
    <xf numFmtId="0" fontId="33" fillId="14" borderId="34" xfId="11" applyFont="1" applyFill="1" applyBorder="1" applyAlignment="1">
      <alignment horizontal="center" vertical="center"/>
    </xf>
    <xf numFmtId="0" fontId="33" fillId="14" borderId="35" xfId="11" applyFont="1" applyFill="1" applyBorder="1" applyAlignment="1">
      <alignment horizontal="center" vertical="center"/>
    </xf>
    <xf numFmtId="41" fontId="35" fillId="3" borderId="76" xfId="3" applyFont="1" applyFill="1" applyBorder="1" applyAlignment="1">
      <alignment horizontal="center" vertical="center"/>
    </xf>
    <xf numFmtId="20" fontId="34" fillId="3" borderId="51" xfId="11" applyNumberFormat="1" applyFont="1" applyFill="1" applyBorder="1" applyAlignment="1">
      <alignment horizontal="center" vertical="center"/>
    </xf>
    <xf numFmtId="0" fontId="66" fillId="3" borderId="41" xfId="11" applyFont="1" applyFill="1" applyBorder="1" applyAlignment="1">
      <alignment horizontal="center" vertical="center"/>
    </xf>
    <xf numFmtId="0" fontId="66" fillId="3" borderId="42" xfId="11" applyFont="1" applyFill="1" applyBorder="1" applyAlignment="1">
      <alignment horizontal="center" vertical="center"/>
    </xf>
    <xf numFmtId="0" fontId="78" fillId="0" borderId="146" xfId="9" applyFont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vertical="center"/>
      <protection locked="0"/>
    </xf>
    <xf numFmtId="0" fontId="29" fillId="0" borderId="0" xfId="9" applyFont="1" applyAlignment="1" applyProtection="1">
      <alignment vertical="center"/>
      <protection locked="0"/>
    </xf>
    <xf numFmtId="0" fontId="40" fillId="0" borderId="0" xfId="9" applyFont="1" applyAlignment="1" applyProtection="1">
      <alignment vertical="center"/>
      <protection locked="0"/>
    </xf>
    <xf numFmtId="0" fontId="108" fillId="0" borderId="0" xfId="0" applyFont="1" applyAlignment="1">
      <alignment vertical="center"/>
    </xf>
    <xf numFmtId="0" fontId="108" fillId="0" borderId="0" xfId="0" applyFont="1" applyAlignment="1" applyProtection="1">
      <alignment vertical="center"/>
      <protection locked="0"/>
    </xf>
    <xf numFmtId="0" fontId="108" fillId="0" borderId="177" xfId="0" applyFont="1" applyBorder="1" applyAlignment="1" applyProtection="1">
      <alignment vertical="center"/>
      <protection locked="0"/>
    </xf>
    <xf numFmtId="180" fontId="109" fillId="0" borderId="177" xfId="9" applyNumberFormat="1" applyFont="1" applyBorder="1" applyAlignment="1" applyProtection="1">
      <alignment horizontal="left" vertical="center"/>
      <protection locked="0"/>
    </xf>
    <xf numFmtId="0" fontId="51" fillId="0" borderId="177" xfId="9" applyFont="1" applyBorder="1" applyAlignment="1" applyProtection="1">
      <alignment vertical="center"/>
      <protection locked="0"/>
    </xf>
    <xf numFmtId="0" fontId="108" fillId="0" borderId="177" xfId="9" applyFont="1" applyBorder="1" applyAlignment="1" applyProtection="1">
      <alignment vertical="center"/>
      <protection locked="0"/>
    </xf>
    <xf numFmtId="0" fontId="108" fillId="0" borderId="178" xfId="9" applyFont="1" applyBorder="1" applyAlignment="1" applyProtection="1">
      <alignment vertical="center"/>
      <protection locked="0"/>
    </xf>
    <xf numFmtId="0" fontId="111" fillId="3" borderId="180" xfId="0" applyFont="1" applyFill="1" applyBorder="1" applyAlignment="1" applyProtection="1">
      <alignment horizontal="center" vertical="center" wrapText="1"/>
      <protection locked="0"/>
    </xf>
    <xf numFmtId="0" fontId="111" fillId="3" borderId="180" xfId="9" applyFont="1" applyFill="1" applyBorder="1" applyAlignment="1" applyProtection="1">
      <alignment horizontal="center" vertical="center" wrapText="1"/>
      <protection locked="0"/>
    </xf>
    <xf numFmtId="0" fontId="111" fillId="3" borderId="186" xfId="0" applyFont="1" applyFill="1" applyBorder="1" applyAlignment="1" applyProtection="1">
      <alignment horizontal="center" vertical="center" wrapText="1"/>
      <protection locked="0"/>
    </xf>
    <xf numFmtId="0" fontId="106" fillId="3" borderId="187" xfId="9" applyFont="1" applyFill="1" applyBorder="1" applyAlignment="1">
      <alignment horizontal="center" vertical="center" wrapText="1"/>
    </xf>
    <xf numFmtId="0" fontId="106" fillId="3" borderId="188" xfId="9" applyFont="1" applyFill="1" applyBorder="1" applyAlignment="1">
      <alignment horizontal="center" vertical="center" wrapText="1"/>
    </xf>
    <xf numFmtId="0" fontId="107" fillId="3" borderId="188" xfId="9" applyFont="1" applyFill="1" applyBorder="1" applyAlignment="1">
      <alignment horizontal="center" vertical="center" wrapText="1"/>
    </xf>
    <xf numFmtId="0" fontId="106" fillId="3" borderId="189" xfId="9" applyFont="1" applyFill="1" applyBorder="1" applyAlignment="1">
      <alignment vertical="center" wrapText="1"/>
    </xf>
    <xf numFmtId="0" fontId="111" fillId="3" borderId="186" xfId="9" applyFont="1" applyFill="1" applyBorder="1" applyAlignment="1" applyProtection="1">
      <alignment horizontal="center" vertical="center" wrapText="1"/>
      <protection locked="0"/>
    </xf>
    <xf numFmtId="0" fontId="52" fillId="3" borderId="198" xfId="0" applyFont="1" applyFill="1" applyBorder="1" applyAlignment="1" applyProtection="1">
      <alignment horizontal="center" vertical="center" wrapText="1"/>
      <protection locked="0"/>
    </xf>
    <xf numFmtId="0" fontId="106" fillId="3" borderId="199" xfId="9" applyFont="1" applyFill="1" applyBorder="1" applyAlignment="1">
      <alignment horizontal="center" vertical="center" wrapText="1"/>
    </xf>
    <xf numFmtId="0" fontId="106" fillId="3" borderId="200" xfId="9" applyFont="1" applyFill="1" applyBorder="1" applyAlignment="1">
      <alignment horizontal="center" vertical="center" wrapText="1"/>
    </xf>
    <xf numFmtId="0" fontId="107" fillId="3" borderId="200" xfId="9" applyFont="1" applyFill="1" applyBorder="1" applyAlignment="1">
      <alignment horizontal="center" vertical="center" wrapText="1"/>
    </xf>
    <xf numFmtId="0" fontId="105" fillId="3" borderId="204" xfId="9" applyFont="1" applyFill="1" applyBorder="1" applyAlignment="1" applyProtection="1">
      <alignment horizontal="center" vertical="center" shrinkToFit="1"/>
      <protection locked="0"/>
    </xf>
    <xf numFmtId="0" fontId="105" fillId="3" borderId="205" xfId="9" applyFont="1" applyFill="1" applyBorder="1" applyAlignment="1" applyProtection="1">
      <alignment horizontal="center" vertical="center" shrinkToFit="1"/>
      <protection locked="0"/>
    </xf>
    <xf numFmtId="0" fontId="105" fillId="3" borderId="206" xfId="9" applyFont="1" applyFill="1" applyBorder="1" applyAlignment="1" applyProtection="1">
      <alignment horizontal="center" vertical="center" shrinkToFit="1"/>
      <protection locked="0"/>
    </xf>
    <xf numFmtId="0" fontId="39" fillId="3" borderId="198" xfId="9" applyFont="1" applyFill="1" applyBorder="1" applyAlignment="1" applyProtection="1">
      <alignment horizontal="center" vertical="center" wrapText="1"/>
      <protection locked="0"/>
    </xf>
    <xf numFmtId="0" fontId="105" fillId="3" borderId="198" xfId="9" applyFont="1" applyFill="1" applyBorder="1" applyAlignment="1" applyProtection="1">
      <alignment horizontal="center" vertical="center" wrapText="1"/>
      <protection locked="0"/>
    </xf>
    <xf numFmtId="0" fontId="52" fillId="3" borderId="198" xfId="9" applyFont="1" applyFill="1" applyBorder="1" applyAlignment="1" applyProtection="1">
      <alignment vertical="center" wrapText="1"/>
      <protection locked="0"/>
    </xf>
    <xf numFmtId="0" fontId="112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53" fillId="6" borderId="208" xfId="0" applyFont="1" applyFill="1" applyBorder="1" applyAlignment="1" applyProtection="1">
      <alignment horizontal="center" vertical="center" shrinkToFit="1"/>
      <protection locked="0"/>
    </xf>
    <xf numFmtId="0" fontId="53" fillId="6" borderId="209" xfId="0" applyFont="1" applyFill="1" applyBorder="1" applyAlignment="1" applyProtection="1">
      <alignment horizontal="center" vertical="center" shrinkToFit="1"/>
      <protection locked="0"/>
    </xf>
    <xf numFmtId="0" fontId="116" fillId="0" borderId="0" xfId="0" applyFont="1" applyAlignment="1">
      <alignment vertical="center"/>
    </xf>
    <xf numFmtId="185" fontId="42" fillId="0" borderId="0" xfId="0" applyNumberFormat="1" applyFont="1" applyAlignment="1">
      <alignment vertical="center"/>
    </xf>
    <xf numFmtId="0" fontId="53" fillId="6" borderId="217" xfId="0" applyFont="1" applyFill="1" applyBorder="1" applyAlignment="1" applyProtection="1">
      <alignment horizontal="center" vertical="center" shrinkToFit="1"/>
      <protection locked="0"/>
    </xf>
    <xf numFmtId="41" fontId="52" fillId="0" borderId="0" xfId="1" applyFont="1" applyAlignment="1">
      <alignment vertical="center"/>
    </xf>
    <xf numFmtId="41" fontId="70" fillId="0" borderId="0" xfId="1" applyFont="1" applyAlignment="1">
      <alignment vertical="center"/>
    </xf>
    <xf numFmtId="41" fontId="71" fillId="0" borderId="0" xfId="1" applyFont="1" applyAlignment="1">
      <alignment vertical="center"/>
    </xf>
    <xf numFmtId="1" fontId="53" fillId="6" borderId="217" xfId="0" applyNumberFormat="1" applyFont="1" applyFill="1" applyBorder="1" applyAlignment="1" applyProtection="1">
      <alignment horizontal="center" vertical="center" shrinkToFit="1"/>
      <protection locked="0"/>
    </xf>
    <xf numFmtId="41" fontId="28" fillId="0" borderId="0" xfId="1" applyFont="1" applyAlignment="1">
      <alignment vertical="center"/>
    </xf>
    <xf numFmtId="41" fontId="42" fillId="0" borderId="0" xfId="1" applyFont="1" applyAlignment="1">
      <alignment vertical="center"/>
    </xf>
    <xf numFmtId="2" fontId="53" fillId="6" borderId="217" xfId="0" applyNumberFormat="1" applyFont="1" applyFill="1" applyBorder="1" applyAlignment="1" applyProtection="1">
      <alignment horizontal="center" vertical="center" shrinkToFit="1"/>
      <protection locked="0"/>
    </xf>
    <xf numFmtId="0" fontId="53" fillId="2" borderId="227" xfId="9" applyFont="1" applyFill="1" applyBorder="1" applyAlignment="1" applyProtection="1">
      <alignment horizontal="center" vertical="center" shrinkToFit="1"/>
      <protection locked="0"/>
    </xf>
    <xf numFmtId="0" fontId="53" fillId="2" borderId="228" xfId="9" applyFont="1" applyFill="1" applyBorder="1" applyAlignment="1" applyProtection="1">
      <alignment horizontal="center" vertical="center" shrinkToFit="1"/>
      <protection locked="0"/>
    </xf>
    <xf numFmtId="0" fontId="53" fillId="2" borderId="229" xfId="9" applyFont="1" applyFill="1" applyBorder="1" applyAlignment="1" applyProtection="1">
      <alignment horizontal="center" vertical="center" shrinkToFit="1"/>
      <protection locked="0"/>
    </xf>
    <xf numFmtId="0" fontId="53" fillId="2" borderId="233" xfId="9" applyFont="1" applyFill="1" applyBorder="1" applyAlignment="1" applyProtection="1">
      <alignment horizontal="center" vertical="center" shrinkToFit="1"/>
      <protection locked="0"/>
    </xf>
    <xf numFmtId="0" fontId="53" fillId="2" borderId="234" xfId="9" applyFont="1" applyFill="1" applyBorder="1" applyAlignment="1" applyProtection="1">
      <alignment horizontal="center" vertical="center" shrinkToFit="1"/>
      <protection locked="0"/>
    </xf>
    <xf numFmtId="0" fontId="53" fillId="2" borderId="235" xfId="9" applyFont="1" applyFill="1" applyBorder="1" applyAlignment="1" applyProtection="1">
      <alignment horizontal="center" vertical="center" shrinkToFit="1"/>
      <protection locked="0"/>
    </xf>
    <xf numFmtId="0" fontId="53" fillId="0" borderId="208" xfId="0" applyFont="1" applyBorder="1" applyAlignment="1">
      <alignment horizontal="center" vertical="center" shrinkToFit="1"/>
    </xf>
    <xf numFmtId="0" fontId="40" fillId="0" borderId="0" xfId="9" applyFont="1" applyAlignment="1">
      <alignment vertical="center"/>
    </xf>
    <xf numFmtId="0" fontId="53" fillId="0" borderId="217" xfId="0" applyFont="1" applyBorder="1" applyAlignment="1">
      <alignment horizontal="center" vertical="center" shrinkToFit="1"/>
    </xf>
    <xf numFmtId="0" fontId="113" fillId="0" borderId="237" xfId="0" applyFont="1" applyBorder="1" applyAlignment="1">
      <alignment horizontal="center" vertical="center" shrinkToFit="1"/>
    </xf>
    <xf numFmtId="41" fontId="116" fillId="0" borderId="0" xfId="1" applyFont="1" applyAlignment="1">
      <alignment vertical="center"/>
    </xf>
    <xf numFmtId="0" fontId="113" fillId="0" borderId="241" xfId="0" applyFont="1" applyBorder="1" applyAlignment="1">
      <alignment horizontal="center" vertical="center" shrinkToFit="1"/>
    </xf>
    <xf numFmtId="41" fontId="108" fillId="0" borderId="0" xfId="0" applyNumberFormat="1" applyFont="1" applyAlignment="1">
      <alignment vertical="center"/>
    </xf>
    <xf numFmtId="0" fontId="113" fillId="0" borderId="244" xfId="0" applyFont="1" applyBorder="1" applyAlignment="1">
      <alignment horizontal="center" vertical="center" shrinkToFit="1"/>
    </xf>
    <xf numFmtId="41" fontId="108" fillId="0" borderId="0" xfId="1" applyFont="1" applyAlignment="1">
      <alignment vertical="center"/>
    </xf>
    <xf numFmtId="0" fontId="113" fillId="0" borderId="245" xfId="0" applyFont="1" applyBorder="1" applyAlignment="1">
      <alignment horizontal="center" vertical="center" shrinkToFit="1"/>
    </xf>
    <xf numFmtId="0" fontId="113" fillId="0" borderId="246" xfId="0" applyFont="1" applyBorder="1" applyAlignment="1">
      <alignment horizontal="center" vertical="center" shrinkToFit="1"/>
    </xf>
    <xf numFmtId="0" fontId="113" fillId="0" borderId="249" xfId="0" applyFont="1" applyBorder="1" applyAlignment="1">
      <alignment horizontal="center" vertical="center" shrinkToFit="1"/>
    </xf>
    <xf numFmtId="0" fontId="113" fillId="0" borderId="248" xfId="0" applyFont="1" applyBorder="1" applyAlignment="1">
      <alignment horizontal="center" vertical="center" wrapText="1"/>
    </xf>
    <xf numFmtId="0" fontId="113" fillId="0" borderId="186" xfId="0" applyFont="1" applyBorder="1" applyAlignment="1">
      <alignment horizontal="right" vertical="center" wrapText="1"/>
    </xf>
    <xf numFmtId="0" fontId="113" fillId="0" borderId="217" xfId="0" applyFont="1" applyBorder="1" applyAlignment="1">
      <alignment horizontal="center" vertical="center" shrinkToFit="1"/>
    </xf>
    <xf numFmtId="0" fontId="113" fillId="0" borderId="219" xfId="0" applyFont="1" applyBorder="1" applyAlignment="1">
      <alignment horizontal="center" vertical="center" wrapText="1"/>
    </xf>
    <xf numFmtId="0" fontId="113" fillId="0" borderId="216" xfId="0" applyFont="1" applyBorder="1" applyAlignment="1">
      <alignment horizontal="right" vertical="center" wrapText="1"/>
    </xf>
    <xf numFmtId="0" fontId="113" fillId="7" borderId="237" xfId="0" applyFont="1" applyFill="1" applyBorder="1" applyAlignment="1">
      <alignment horizontal="center" vertical="center" shrinkToFit="1"/>
    </xf>
    <xf numFmtId="0" fontId="113" fillId="7" borderId="241" xfId="0" applyFont="1" applyFill="1" applyBorder="1" applyAlignment="1">
      <alignment horizontal="center" vertical="center" shrinkToFit="1"/>
    </xf>
    <xf numFmtId="0" fontId="113" fillId="0" borderId="208" xfId="0" applyFont="1" applyBorder="1" applyAlignment="1">
      <alignment horizontal="center" vertical="center" shrinkToFit="1"/>
    </xf>
    <xf numFmtId="0" fontId="54" fillId="0" borderId="208" xfId="0" applyFont="1" applyBorder="1" applyAlignment="1">
      <alignment horizontal="center" vertical="center" shrinkToFit="1"/>
    </xf>
    <xf numFmtId="0" fontId="113" fillId="0" borderId="256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5" fillId="0" borderId="0" xfId="39" applyFont="1">
      <alignment vertical="center"/>
    </xf>
    <xf numFmtId="0" fontId="25" fillId="0" borderId="0" xfId="39" applyFont="1" applyAlignment="1">
      <alignment horizontal="left" vertical="center" indent="1"/>
    </xf>
    <xf numFmtId="0" fontId="25" fillId="0" borderId="0" xfId="39" applyFont="1" applyAlignment="1">
      <alignment horizontal="center" vertical="center"/>
    </xf>
    <xf numFmtId="0" fontId="51" fillId="0" borderId="0" xfId="39" applyFont="1">
      <alignment vertical="center"/>
    </xf>
    <xf numFmtId="0" fontId="77" fillId="0" borderId="0" xfId="39" applyFont="1" applyAlignment="1">
      <alignment horizontal="center" vertical="center" wrapText="1"/>
    </xf>
    <xf numFmtId="0" fontId="78" fillId="0" borderId="0" xfId="39" applyFont="1" applyAlignment="1">
      <alignment horizontal="left" vertical="center" indent="1"/>
    </xf>
    <xf numFmtId="0" fontId="78" fillId="0" borderId="0" xfId="39" applyFont="1" applyAlignment="1">
      <alignment horizontal="center" vertical="center"/>
    </xf>
    <xf numFmtId="0" fontId="79" fillId="0" borderId="0" xfId="39" applyFont="1" applyAlignment="1">
      <alignment horizontal="center" vertical="center" wrapText="1"/>
    </xf>
    <xf numFmtId="0" fontId="79" fillId="0" borderId="0" xfId="39" applyFont="1" applyAlignment="1">
      <alignment horizontal="left" vertical="center" wrapText="1"/>
    </xf>
    <xf numFmtId="0" fontId="79" fillId="0" borderId="148" xfId="39" applyFont="1" applyBorder="1" applyAlignment="1">
      <alignment horizontal="justify" vertical="center" wrapText="1"/>
    </xf>
    <xf numFmtId="0" fontId="78" fillId="0" borderId="130" xfId="39" applyFont="1" applyBorder="1">
      <alignment vertical="center"/>
    </xf>
    <xf numFmtId="0" fontId="79" fillId="0" borderId="150" xfId="39" applyFont="1" applyBorder="1" applyAlignment="1">
      <alignment horizontal="justify" vertical="center" wrapText="1"/>
    </xf>
    <xf numFmtId="0" fontId="25" fillId="0" borderId="152" xfId="39" applyFont="1" applyBorder="1" applyAlignment="1">
      <alignment vertical="center" wrapText="1"/>
    </xf>
    <xf numFmtId="0" fontId="80" fillId="0" borderId="0" xfId="39" applyFont="1" applyAlignment="1">
      <alignment horizontal="center" vertical="center" wrapText="1"/>
    </xf>
    <xf numFmtId="0" fontId="25" fillId="0" borderId="150" xfId="39" applyFont="1" applyBorder="1" applyAlignment="1">
      <alignment vertical="center" wrapText="1"/>
    </xf>
    <xf numFmtId="0" fontId="81" fillId="0" borderId="0" xfId="39" applyFont="1" applyAlignment="1">
      <alignment vertical="center" wrapText="1"/>
    </xf>
    <xf numFmtId="0" fontId="25" fillId="0" borderId="171" xfId="39" applyFont="1" applyBorder="1">
      <alignment vertical="center"/>
    </xf>
    <xf numFmtId="176" fontId="79" fillId="0" borderId="146" xfId="39" applyNumberFormat="1" applyFont="1" applyBorder="1" applyAlignment="1">
      <alignment horizontal="left" vertical="center" wrapText="1"/>
    </xf>
    <xf numFmtId="0" fontId="87" fillId="0" borderId="21" xfId="39" applyFont="1" applyBorder="1" applyAlignment="1">
      <alignment horizontal="left" vertical="center" shrinkToFit="1"/>
    </xf>
    <xf numFmtId="0" fontId="79" fillId="0" borderId="161" xfId="39" applyFont="1" applyBorder="1" applyAlignment="1">
      <alignment horizontal="justify" vertical="center" wrapText="1"/>
    </xf>
    <xf numFmtId="0" fontId="30" fillId="0" borderId="79" xfId="39" applyFont="1" applyBorder="1">
      <alignment vertical="center"/>
    </xf>
    <xf numFmtId="0" fontId="25" fillId="0" borderId="79" xfId="39" applyFont="1" applyBorder="1">
      <alignment vertical="center"/>
    </xf>
    <xf numFmtId="0" fontId="87" fillId="0" borderId="138" xfId="39" applyFont="1" applyBorder="1">
      <alignment vertical="center"/>
    </xf>
    <xf numFmtId="0" fontId="82" fillId="0" borderId="78" xfId="39" applyFont="1" applyBorder="1" applyAlignment="1">
      <alignment vertical="center" wrapText="1"/>
    </xf>
    <xf numFmtId="0" fontId="99" fillId="0" borderId="79" xfId="39" applyFont="1" applyBorder="1" applyAlignment="1">
      <alignment horizontal="left" vertical="center" wrapText="1"/>
    </xf>
    <xf numFmtId="0" fontId="98" fillId="0" borderId="80" xfId="39" applyFont="1" applyBorder="1" applyAlignment="1">
      <alignment horizontal="left" vertical="center" wrapText="1"/>
    </xf>
    <xf numFmtId="0" fontId="30" fillId="0" borderId="0" xfId="39" applyFont="1" applyAlignment="1">
      <alignment horizontal="center" vertical="center"/>
    </xf>
    <xf numFmtId="0" fontId="107" fillId="3" borderId="201" xfId="9" applyFont="1" applyFill="1" applyBorder="1" applyAlignment="1">
      <alignment horizontal="center" vertical="center" wrapText="1"/>
    </xf>
    <xf numFmtId="0" fontId="116" fillId="0" borderId="124" xfId="0" applyFont="1" applyBorder="1" applyAlignment="1">
      <alignment vertical="center"/>
    </xf>
    <xf numFmtId="0" fontId="53" fillId="13" borderId="208" xfId="0" applyFont="1" applyFill="1" applyBorder="1" applyAlignment="1" applyProtection="1">
      <alignment horizontal="center" vertical="center" shrinkToFit="1"/>
      <protection locked="0"/>
    </xf>
    <xf numFmtId="0" fontId="53" fillId="13" borderId="217" xfId="0" applyFont="1" applyFill="1" applyBorder="1" applyAlignment="1" applyProtection="1">
      <alignment horizontal="center" vertical="center" shrinkToFit="1"/>
      <protection locked="0"/>
    </xf>
    <xf numFmtId="0" fontId="115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78" fillId="0" borderId="0" xfId="39" applyFont="1" applyAlignment="1">
      <alignment horizontal="justify" vertical="center" wrapText="1"/>
    </xf>
    <xf numFmtId="0" fontId="78" fillId="0" borderId="0" xfId="39" applyFont="1" applyAlignment="1">
      <alignment horizontal="center" vertical="center" wrapText="1"/>
    </xf>
    <xf numFmtId="0" fontId="121" fillId="0" borderId="0" xfId="41" applyFont="1" applyProtection="1">
      <alignment vertical="center"/>
      <protection locked="0" hidden="1"/>
    </xf>
    <xf numFmtId="0" fontId="122" fillId="0" borderId="0" xfId="41" applyFont="1" applyProtection="1">
      <alignment vertical="center"/>
      <protection locked="0" hidden="1"/>
    </xf>
    <xf numFmtId="0" fontId="123" fillId="0" borderId="0" xfId="41" applyFont="1" applyProtection="1">
      <alignment vertical="center"/>
      <protection locked="0" hidden="1"/>
    </xf>
    <xf numFmtId="0" fontId="124" fillId="0" borderId="0" xfId="41" applyFont="1" applyProtection="1">
      <alignment vertical="center"/>
      <protection locked="0" hidden="1"/>
    </xf>
    <xf numFmtId="0" fontId="125" fillId="0" borderId="0" xfId="42" applyFont="1" applyProtection="1">
      <protection locked="0" hidden="1"/>
    </xf>
    <xf numFmtId="6" fontId="125" fillId="0" borderId="0" xfId="13" applyNumberFormat="1" applyFont="1" applyProtection="1">
      <protection locked="0" hidden="1"/>
    </xf>
    <xf numFmtId="41" fontId="124" fillId="0" borderId="0" xfId="41" applyNumberFormat="1" applyFont="1" applyProtection="1">
      <alignment vertical="center"/>
      <protection locked="0" hidden="1"/>
    </xf>
    <xf numFmtId="0" fontId="126" fillId="0" borderId="0" xfId="41" applyFont="1" applyProtection="1">
      <alignment vertical="center"/>
      <protection locked="0" hidden="1"/>
    </xf>
    <xf numFmtId="41" fontId="96" fillId="0" borderId="15" xfId="13" applyNumberFormat="1" applyFont="1" applyBorder="1" applyProtection="1">
      <protection locked="0" hidden="1"/>
    </xf>
    <xf numFmtId="41" fontId="96" fillId="0" borderId="15" xfId="13" applyNumberFormat="1" applyFont="1" applyBorder="1" applyAlignment="1" applyProtection="1">
      <alignment horizontal="right"/>
      <protection locked="0" hidden="1"/>
    </xf>
    <xf numFmtId="14" fontId="96" fillId="0" borderId="15" xfId="13" applyNumberFormat="1" applyFont="1" applyBorder="1" applyProtection="1">
      <protection locked="0" hidden="1"/>
    </xf>
    <xf numFmtId="41" fontId="128" fillId="0" borderId="257" xfId="13" applyNumberFormat="1" applyFont="1" applyBorder="1" applyAlignment="1" applyProtection="1">
      <alignment horizontal="center" vertical="center"/>
      <protection locked="0" hidden="1"/>
    </xf>
    <xf numFmtId="0" fontId="96" fillId="0" borderId="0" xfId="42" applyFont="1" applyProtection="1">
      <protection locked="0" hidden="1"/>
    </xf>
    <xf numFmtId="14" fontId="96" fillId="0" borderId="15" xfId="13" applyNumberFormat="1" applyFont="1" applyBorder="1" applyAlignment="1" applyProtection="1">
      <alignment horizontal="center"/>
      <protection locked="0" hidden="1"/>
    </xf>
    <xf numFmtId="41" fontId="95" fillId="6" borderId="92" xfId="13" applyNumberFormat="1" applyFont="1" applyFill="1" applyBorder="1" applyAlignment="1" applyProtection="1">
      <alignment horizontal="center" vertical="center"/>
      <protection locked="0" hidden="1"/>
    </xf>
    <xf numFmtId="41" fontId="95" fillId="0" borderId="69" xfId="13" applyNumberFormat="1" applyFont="1" applyBorder="1" applyAlignment="1" applyProtection="1">
      <alignment vertical="center"/>
      <protection locked="0" hidden="1"/>
    </xf>
    <xf numFmtId="41" fontId="128" fillId="0" borderId="0" xfId="13" applyNumberFormat="1" applyFont="1" applyAlignment="1" applyProtection="1">
      <alignment horizontal="center" vertical="center"/>
      <protection locked="0" hidden="1"/>
    </xf>
    <xf numFmtId="41" fontId="95" fillId="6" borderId="135" xfId="13" applyNumberFormat="1" applyFont="1" applyFill="1" applyBorder="1" applyAlignment="1" applyProtection="1">
      <alignment horizontal="center" vertical="center"/>
      <protection locked="0" hidden="1"/>
    </xf>
    <xf numFmtId="41" fontId="95" fillId="6" borderId="136" xfId="13" applyNumberFormat="1" applyFont="1" applyFill="1" applyBorder="1" applyAlignment="1" applyProtection="1">
      <alignment horizontal="center" vertical="center"/>
      <protection locked="0" hidden="1"/>
    </xf>
    <xf numFmtId="14" fontId="128" fillId="0" borderId="257" xfId="13" applyNumberFormat="1" applyFont="1" applyBorder="1" applyAlignment="1" applyProtection="1">
      <alignment horizontal="center" vertical="center"/>
      <protection locked="0" hidden="1"/>
    </xf>
    <xf numFmtId="41" fontId="95" fillId="6" borderId="109" xfId="13" applyNumberFormat="1" applyFont="1" applyFill="1" applyBorder="1" applyAlignment="1" applyProtection="1">
      <alignment horizontal="center" vertical="center"/>
      <protection locked="0" hidden="1"/>
    </xf>
    <xf numFmtId="41" fontId="95" fillId="6" borderId="114" xfId="13" applyNumberFormat="1" applyFont="1" applyFill="1" applyBorder="1" applyAlignment="1" applyProtection="1">
      <alignment horizontal="center" vertical="center"/>
      <protection locked="0" hidden="1"/>
    </xf>
    <xf numFmtId="178" fontId="128" fillId="0" borderId="257" xfId="13" applyNumberFormat="1" applyFont="1" applyBorder="1" applyAlignment="1" applyProtection="1">
      <alignment horizontal="center" vertical="center"/>
      <protection locked="0" hidden="1"/>
    </xf>
    <xf numFmtId="41" fontId="95" fillId="0" borderId="0" xfId="13" applyNumberFormat="1" applyFont="1" applyAlignment="1" applyProtection="1">
      <alignment horizontal="center" vertical="center"/>
      <protection locked="0" hidden="1"/>
    </xf>
    <xf numFmtId="41" fontId="96" fillId="6" borderId="33" xfId="13" applyNumberFormat="1" applyFont="1" applyFill="1" applyBorder="1" applyAlignment="1" applyProtection="1">
      <alignment horizontal="center" vertical="center"/>
      <protection locked="0" hidden="1"/>
    </xf>
    <xf numFmtId="41" fontId="96" fillId="6" borderId="59" xfId="13" applyNumberFormat="1" applyFont="1" applyFill="1" applyBorder="1" applyAlignment="1" applyProtection="1">
      <alignment horizontal="center" vertical="center"/>
      <protection locked="0" hidden="1"/>
    </xf>
    <xf numFmtId="41" fontId="96" fillId="6" borderId="44" xfId="13" applyNumberFormat="1" applyFont="1" applyFill="1" applyBorder="1" applyAlignment="1" applyProtection="1">
      <alignment horizontal="center" vertical="center"/>
      <protection locked="0" hidden="1"/>
    </xf>
    <xf numFmtId="41" fontId="129" fillId="0" borderId="0" xfId="13" applyNumberFormat="1" applyFont="1" applyAlignment="1" applyProtection="1">
      <alignment horizontal="center" vertical="center"/>
      <protection locked="0" hidden="1"/>
    </xf>
    <xf numFmtId="41" fontId="94" fillId="0" borderId="39" xfId="13" applyNumberFormat="1" applyFont="1" applyBorder="1" applyAlignment="1" applyProtection="1">
      <alignment horizontal="center" vertical="center"/>
      <protection locked="0" hidden="1"/>
    </xf>
    <xf numFmtId="41" fontId="94" fillId="0" borderId="48" xfId="13" applyNumberFormat="1" applyFont="1" applyBorder="1" applyAlignment="1" applyProtection="1">
      <alignment horizontal="center" vertical="center"/>
      <protection locked="0" hidden="1"/>
    </xf>
    <xf numFmtId="41" fontId="94" fillId="0" borderId="59" xfId="13" applyNumberFormat="1" applyFont="1" applyBorder="1" applyAlignment="1" applyProtection="1">
      <alignment horizontal="center" vertical="center"/>
      <protection locked="0" hidden="1"/>
    </xf>
    <xf numFmtId="41" fontId="94" fillId="0" borderId="34" xfId="13" applyNumberFormat="1" applyFont="1" applyBorder="1" applyAlignment="1" applyProtection="1">
      <alignment horizontal="center" vertical="center"/>
      <protection locked="0" hidden="1"/>
    </xf>
    <xf numFmtId="41" fontId="96" fillId="6" borderId="39" xfId="13" applyNumberFormat="1" applyFont="1" applyFill="1" applyBorder="1" applyAlignment="1" applyProtection="1">
      <alignment horizontal="center" vertical="center"/>
      <protection locked="0" hidden="1"/>
    </xf>
    <xf numFmtId="41" fontId="96" fillId="6" borderId="64" xfId="13" applyNumberFormat="1" applyFont="1" applyFill="1" applyBorder="1" applyAlignment="1" applyProtection="1">
      <alignment horizontal="center" vertical="center"/>
      <protection locked="0" hidden="1"/>
    </xf>
    <xf numFmtId="182" fontId="94" fillId="0" borderId="48" xfId="13" applyNumberFormat="1" applyFont="1" applyBorder="1" applyAlignment="1" applyProtection="1">
      <alignment horizontal="center" vertical="center"/>
      <protection locked="0" hidden="1"/>
    </xf>
    <xf numFmtId="182" fontId="94" fillId="0" borderId="39" xfId="13" applyNumberFormat="1" applyFont="1" applyBorder="1" applyAlignment="1" applyProtection="1">
      <alignment horizontal="center" vertical="center"/>
      <protection locked="0" hidden="1"/>
    </xf>
    <xf numFmtId="182" fontId="94" fillId="0" borderId="59" xfId="13" applyNumberFormat="1" applyFont="1" applyBorder="1" applyAlignment="1" applyProtection="1">
      <alignment horizontal="center" vertical="center"/>
      <protection locked="0" hidden="1"/>
    </xf>
    <xf numFmtId="182" fontId="94" fillId="0" borderId="34" xfId="13" applyNumberFormat="1" applyFont="1" applyBorder="1" applyAlignment="1" applyProtection="1">
      <alignment horizontal="center" vertical="center"/>
      <protection locked="0" hidden="1"/>
    </xf>
    <xf numFmtId="41" fontId="96" fillId="6" borderId="33" xfId="13" applyNumberFormat="1" applyFont="1" applyFill="1" applyBorder="1" applyAlignment="1">
      <alignment horizontal="center" vertical="center"/>
    </xf>
    <xf numFmtId="41" fontId="94" fillId="0" borderId="70" xfId="43" applyFont="1" applyBorder="1" applyAlignment="1">
      <alignment horizontal="right" vertical="center" shrinkToFit="1"/>
    </xf>
    <xf numFmtId="0" fontId="94" fillId="0" borderId="106" xfId="13" applyFont="1" applyBorder="1" applyAlignment="1">
      <alignment horizontal="center" vertical="center" shrinkToFit="1"/>
    </xf>
    <xf numFmtId="0" fontId="94" fillId="6" borderId="33" xfId="13" applyFont="1" applyFill="1" applyBorder="1" applyAlignment="1">
      <alignment horizontal="center" vertical="center"/>
    </xf>
    <xf numFmtId="41" fontId="94" fillId="0" borderId="70" xfId="43" applyFont="1" applyBorder="1" applyAlignment="1">
      <alignment horizontal="distributed" vertical="center" shrinkToFit="1"/>
    </xf>
    <xf numFmtId="41" fontId="96" fillId="6" borderId="59" xfId="13" applyNumberFormat="1" applyFont="1" applyFill="1" applyBorder="1" applyAlignment="1">
      <alignment horizontal="center" vertical="center"/>
    </xf>
    <xf numFmtId="41" fontId="94" fillId="0" borderId="84" xfId="43" applyFont="1" applyBorder="1" applyAlignment="1">
      <alignment horizontal="right" vertical="center" shrinkToFit="1"/>
    </xf>
    <xf numFmtId="0" fontId="94" fillId="0" borderId="153" xfId="13" applyFont="1" applyBorder="1" applyAlignment="1">
      <alignment horizontal="center" vertical="center" shrinkToFit="1"/>
    </xf>
    <xf numFmtId="179" fontId="94" fillId="0" borderId="153" xfId="43" applyNumberFormat="1" applyFont="1" applyBorder="1" applyAlignment="1">
      <alignment horizontal="left" vertical="center" shrinkToFit="1"/>
    </xf>
    <xf numFmtId="0" fontId="94" fillId="6" borderId="59" xfId="13" applyFont="1" applyFill="1" applyBorder="1" applyAlignment="1">
      <alignment horizontal="center" vertical="center"/>
    </xf>
    <xf numFmtId="41" fontId="94" fillId="0" borderId="83" xfId="43" applyFont="1" applyBorder="1" applyAlignment="1">
      <alignment horizontal="distributed" vertical="center" shrinkToFit="1"/>
    </xf>
    <xf numFmtId="0" fontId="94" fillId="0" borderId="102" xfId="13" applyFont="1" applyBorder="1" applyAlignment="1">
      <alignment horizontal="center" vertical="center" shrinkToFit="1"/>
    </xf>
    <xf numFmtId="41" fontId="94" fillId="0" borderId="102" xfId="13" applyNumberFormat="1" applyFont="1" applyBorder="1" applyAlignment="1">
      <alignment horizontal="center" vertical="center" shrinkToFit="1"/>
    </xf>
    <xf numFmtId="0" fontId="130" fillId="0" borderId="102" xfId="13" applyFont="1" applyBorder="1" applyAlignment="1">
      <alignment horizontal="left" vertical="center" shrinkToFit="1"/>
    </xf>
    <xf numFmtId="200" fontId="96" fillId="6" borderId="59" xfId="1" applyNumberFormat="1" applyFont="1" applyFill="1" applyBorder="1" applyAlignment="1">
      <alignment horizontal="center" vertical="center"/>
    </xf>
    <xf numFmtId="41" fontId="94" fillId="0" borderId="83" xfId="43" applyFont="1" applyBorder="1" applyAlignment="1">
      <alignment horizontal="right" vertical="center" shrinkToFit="1"/>
    </xf>
    <xf numFmtId="200" fontId="94" fillId="6" borderId="59" xfId="13" applyNumberFormat="1" applyFont="1" applyFill="1" applyBorder="1" applyAlignment="1">
      <alignment horizontal="center" vertical="center"/>
    </xf>
    <xf numFmtId="41" fontId="94" fillId="0" borderId="83" xfId="43" applyFont="1" applyBorder="1" applyAlignment="1">
      <alignment horizontal="center" vertical="center" shrinkToFit="1"/>
    </xf>
    <xf numFmtId="41" fontId="94" fillId="0" borderId="153" xfId="43" applyFont="1" applyBorder="1" applyAlignment="1">
      <alignment horizontal="center" vertical="center" shrinkToFit="1"/>
    </xf>
    <xf numFmtId="0" fontId="94" fillId="0" borderId="83" xfId="13" applyFont="1" applyBorder="1" applyAlignment="1">
      <alignment horizontal="right" vertical="center" shrinkToFit="1"/>
    </xf>
    <xf numFmtId="0" fontId="94" fillId="0" borderId="83" xfId="13" applyFont="1" applyBorder="1" applyAlignment="1">
      <alignment vertical="center" shrinkToFit="1"/>
    </xf>
    <xf numFmtId="196" fontId="94" fillId="0" borderId="88" xfId="44" applyNumberFormat="1" applyFont="1" applyBorder="1" applyAlignment="1">
      <alignment horizontal="center"/>
    </xf>
    <xf numFmtId="0" fontId="94" fillId="0" borderId="102" xfId="13" applyFont="1" applyBorder="1" applyAlignment="1">
      <alignment vertical="center" shrinkToFit="1"/>
    </xf>
    <xf numFmtId="200" fontId="94" fillId="6" borderId="34" xfId="13" applyNumberFormat="1" applyFont="1" applyFill="1" applyBorder="1" applyAlignment="1">
      <alignment horizontal="center" vertical="center"/>
    </xf>
    <xf numFmtId="0" fontId="94" fillId="0" borderId="85" xfId="13" applyFont="1" applyBorder="1" applyAlignment="1">
      <alignment horizontal="right" vertical="center" shrinkToFit="1"/>
    </xf>
    <xf numFmtId="0" fontId="94" fillId="0" borderId="36" xfId="13" applyFont="1" applyBorder="1" applyAlignment="1">
      <alignment vertical="center" shrinkToFit="1"/>
    </xf>
    <xf numFmtId="196" fontId="94" fillId="0" borderId="36" xfId="44" applyNumberFormat="1" applyFont="1" applyBorder="1" applyAlignment="1"/>
    <xf numFmtId="0" fontId="94" fillId="0" borderId="85" xfId="13" applyFont="1" applyBorder="1" applyAlignment="1">
      <alignment vertical="center" shrinkToFit="1"/>
    </xf>
    <xf numFmtId="196" fontId="94" fillId="0" borderId="90" xfId="44" applyNumberFormat="1" applyFont="1" applyBorder="1" applyAlignment="1">
      <alignment horizontal="center"/>
    </xf>
    <xf numFmtId="200" fontId="94" fillId="6" borderId="38" xfId="13" applyNumberFormat="1" applyFont="1" applyFill="1" applyBorder="1" applyAlignment="1">
      <alignment horizontal="center" vertical="center"/>
    </xf>
    <xf numFmtId="0" fontId="94" fillId="0" borderId="70" xfId="13" applyFont="1" applyBorder="1" applyAlignment="1">
      <alignment horizontal="right" vertical="center" shrinkToFit="1"/>
    </xf>
    <xf numFmtId="0" fontId="94" fillId="0" borderId="106" xfId="13" applyFont="1" applyBorder="1" applyAlignment="1">
      <alignment vertical="center" shrinkToFit="1"/>
    </xf>
    <xf numFmtId="196" fontId="94" fillId="0" borderId="26" xfId="44" applyNumberFormat="1" applyFont="1" applyBorder="1" applyAlignment="1"/>
    <xf numFmtId="0" fontId="94" fillId="0" borderId="84" xfId="13" applyFont="1" applyBorder="1" applyAlignment="1">
      <alignment vertical="center" shrinkToFit="1"/>
    </xf>
    <xf numFmtId="0" fontId="94" fillId="0" borderId="153" xfId="13" applyFont="1" applyBorder="1" applyAlignment="1">
      <alignment vertical="center" shrinkToFit="1"/>
    </xf>
    <xf numFmtId="196" fontId="94" fillId="0" borderId="76" xfId="44" applyNumberFormat="1" applyFont="1" applyBorder="1" applyAlignment="1">
      <alignment horizontal="center"/>
    </xf>
    <xf numFmtId="200" fontId="96" fillId="6" borderId="54" xfId="13" applyNumberFormat="1" applyFont="1" applyFill="1" applyBorder="1" applyAlignment="1">
      <alignment horizontal="center" vertical="center"/>
    </xf>
    <xf numFmtId="41" fontId="94" fillId="0" borderId="146" xfId="43" applyFont="1" applyBorder="1" applyAlignment="1"/>
    <xf numFmtId="200" fontId="94" fillId="6" borderId="54" xfId="13" applyNumberFormat="1" applyFont="1" applyFill="1" applyBorder="1" applyAlignment="1">
      <alignment horizontal="center" vertical="center"/>
    </xf>
    <xf numFmtId="41" fontId="94" fillId="0" borderId="258" xfId="43" applyFont="1" applyBorder="1" applyAlignment="1">
      <alignment horizontal="center"/>
    </xf>
    <xf numFmtId="200" fontId="96" fillId="6" borderId="34" xfId="13" applyNumberFormat="1" applyFont="1" applyFill="1" applyBorder="1" applyAlignment="1">
      <alignment horizontal="center" vertical="center"/>
    </xf>
    <xf numFmtId="41" fontId="94" fillId="0" borderId="36" xfId="43" applyFont="1" applyBorder="1" applyAlignment="1"/>
    <xf numFmtId="41" fontId="94" fillId="0" borderId="90" xfId="43" applyFont="1" applyBorder="1" applyAlignment="1">
      <alignment horizontal="center"/>
    </xf>
    <xf numFmtId="41" fontId="95" fillId="0" borderId="15" xfId="13" applyNumberFormat="1" applyFont="1" applyBorder="1" applyAlignment="1" applyProtection="1">
      <alignment horizontal="center" vertical="center"/>
      <protection locked="0" hidden="1"/>
    </xf>
    <xf numFmtId="182" fontId="94" fillId="0" borderId="15" xfId="13" applyNumberFormat="1" applyFont="1" applyBorder="1" applyAlignment="1" applyProtection="1">
      <alignment horizontal="center" vertical="center"/>
      <protection locked="0" hidden="1"/>
    </xf>
    <xf numFmtId="41" fontId="128" fillId="0" borderId="0" xfId="13" applyNumberFormat="1" applyFont="1" applyAlignment="1" applyProtection="1">
      <alignment vertical="center"/>
      <protection locked="0" hidden="1"/>
    </xf>
    <xf numFmtId="41" fontId="94" fillId="0" borderId="83" xfId="13" applyNumberFormat="1" applyFont="1" applyBorder="1" applyAlignment="1">
      <alignment horizontal="left" vertical="center" shrinkToFit="1"/>
    </xf>
    <xf numFmtId="41" fontId="94" fillId="0" borderId="83" xfId="43" applyFont="1" applyFill="1" applyBorder="1" applyAlignment="1">
      <alignment horizontal="right" vertical="center" shrinkToFit="1"/>
    </xf>
    <xf numFmtId="41" fontId="96" fillId="6" borderId="70" xfId="13" applyNumberFormat="1" applyFont="1" applyFill="1" applyBorder="1" applyAlignment="1" applyProtection="1">
      <alignment horizontal="center" vertical="center"/>
      <protection locked="0" hidden="1"/>
    </xf>
    <xf numFmtId="41" fontId="96" fillId="6" borderId="83" xfId="13" applyNumberFormat="1" applyFont="1" applyFill="1" applyBorder="1" applyAlignment="1" applyProtection="1">
      <alignment horizontal="center" vertical="center"/>
      <protection locked="0" hidden="1"/>
    </xf>
    <xf numFmtId="41" fontId="96" fillId="6" borderId="260" xfId="13" applyNumberFormat="1" applyFont="1" applyFill="1" applyBorder="1" applyAlignment="1" applyProtection="1">
      <alignment horizontal="center" vertical="center"/>
      <protection locked="0" hidden="1"/>
    </xf>
    <xf numFmtId="41" fontId="94" fillId="0" borderId="84" xfId="13" applyNumberFormat="1" applyFont="1" applyBorder="1" applyAlignment="1" applyProtection="1">
      <alignment horizontal="center" vertical="center"/>
      <protection locked="0" hidden="1"/>
    </xf>
    <xf numFmtId="41" fontId="128" fillId="6" borderId="70" xfId="13" applyNumberFormat="1" applyFont="1" applyFill="1" applyBorder="1" applyAlignment="1" applyProtection="1">
      <alignment vertical="center"/>
      <protection locked="0" hidden="1"/>
    </xf>
    <xf numFmtId="41" fontId="128" fillId="6" borderId="83" xfId="13" applyNumberFormat="1" applyFont="1" applyFill="1" applyBorder="1" applyAlignment="1" applyProtection="1">
      <alignment vertical="center"/>
      <protection locked="0" hidden="1"/>
    </xf>
    <xf numFmtId="41" fontId="128" fillId="6" borderId="260" xfId="13" applyNumberFormat="1" applyFont="1" applyFill="1" applyBorder="1" applyAlignment="1" applyProtection="1">
      <alignment vertical="center"/>
      <protection locked="0" hidden="1"/>
    </xf>
    <xf numFmtId="41" fontId="94" fillId="0" borderId="84" xfId="13" applyNumberFormat="1" applyFont="1" applyBorder="1" applyAlignment="1" applyProtection="1">
      <alignment vertical="center"/>
      <protection locked="0" hidden="1"/>
    </xf>
    <xf numFmtId="41" fontId="94" fillId="0" borderId="83" xfId="13" applyNumberFormat="1" applyFont="1" applyBorder="1" applyAlignment="1" applyProtection="1">
      <alignment vertical="center"/>
      <protection locked="0" hidden="1"/>
    </xf>
    <xf numFmtId="41" fontId="94" fillId="0" borderId="85" xfId="13" applyNumberFormat="1" applyFont="1" applyBorder="1" applyAlignment="1" applyProtection="1">
      <alignment vertical="center"/>
      <protection locked="0" hidden="1"/>
    </xf>
    <xf numFmtId="41" fontId="94" fillId="0" borderId="71" xfId="13" applyNumberFormat="1" applyFont="1" applyBorder="1" applyAlignment="1">
      <alignment horizontal="center" vertical="center"/>
    </xf>
    <xf numFmtId="41" fontId="94" fillId="0" borderId="94" xfId="13" applyNumberFormat="1" applyFont="1" applyBorder="1" applyAlignment="1">
      <alignment horizontal="center" vertical="center"/>
    </xf>
    <xf numFmtId="41" fontId="95" fillId="0" borderId="94" xfId="13" applyNumberFormat="1" applyFont="1" applyBorder="1" applyAlignment="1">
      <alignment horizontal="center" vertical="center"/>
    </xf>
    <xf numFmtId="41" fontId="95" fillId="0" borderId="101" xfId="13" applyNumberFormat="1" applyFont="1" applyBorder="1" applyAlignment="1">
      <alignment horizontal="center" vertical="center"/>
    </xf>
    <xf numFmtId="41" fontId="95" fillId="0" borderId="120" xfId="13" applyNumberFormat="1" applyFont="1" applyBorder="1" applyAlignment="1">
      <alignment horizontal="center" vertical="center"/>
    </xf>
    <xf numFmtId="41" fontId="95" fillId="0" borderId="259" xfId="13" applyNumberFormat="1" applyFont="1" applyBorder="1" applyAlignment="1">
      <alignment horizontal="center" vertical="center"/>
    </xf>
    <xf numFmtId="41" fontId="94" fillId="0" borderId="101" xfId="13" applyNumberFormat="1" applyFont="1" applyBorder="1" applyAlignment="1">
      <alignment horizontal="center" vertical="center"/>
    </xf>
    <xf numFmtId="41" fontId="95" fillId="0" borderId="58" xfId="13" applyNumberFormat="1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132" fillId="0" borderId="0" xfId="41" applyFont="1" applyProtection="1">
      <alignment vertical="center"/>
      <protection locked="0" hidden="1"/>
    </xf>
    <xf numFmtId="41" fontId="132" fillId="0" borderId="0" xfId="41" applyNumberFormat="1" applyFont="1" applyProtection="1">
      <alignment vertical="center"/>
      <protection locked="0" hidden="1"/>
    </xf>
    <xf numFmtId="0" fontId="34" fillId="0" borderId="51" xfId="11" applyFont="1" applyBorder="1" applyAlignment="1">
      <alignment horizontal="center" vertical="center"/>
    </xf>
    <xf numFmtId="0" fontId="34" fillId="0" borderId="56" xfId="11" applyFont="1" applyBorder="1" applyAlignment="1">
      <alignment horizontal="center" vertical="center"/>
    </xf>
    <xf numFmtId="0" fontId="34" fillId="0" borderId="19" xfId="11" applyFont="1" applyBorder="1" applyAlignment="1">
      <alignment horizontal="center" vertical="center"/>
    </xf>
    <xf numFmtId="0" fontId="34" fillId="0" borderId="46" xfId="11" applyFont="1" applyBorder="1" applyAlignment="1">
      <alignment horizontal="center" vertical="center"/>
    </xf>
    <xf numFmtId="0" fontId="34" fillId="0" borderId="41" xfId="11" applyFont="1" applyBorder="1" applyAlignment="1">
      <alignment horizontal="center" vertical="center"/>
    </xf>
    <xf numFmtId="179" fontId="94" fillId="0" borderId="106" xfId="43" applyNumberFormat="1" applyFont="1" applyBorder="1" applyAlignment="1">
      <alignment horizontal="center" vertical="center" shrinkToFit="1"/>
    </xf>
    <xf numFmtId="179" fontId="130" fillId="0" borderId="153" xfId="43" applyNumberFormat="1" applyFont="1" applyBorder="1" applyAlignment="1">
      <alignment horizontal="left" vertical="center" shrinkToFit="1"/>
    </xf>
    <xf numFmtId="0" fontId="87" fillId="0" borderId="102" xfId="39" applyFont="1" applyBorder="1" applyAlignment="1">
      <alignment horizontal="center" vertical="center" shrinkToFit="1"/>
    </xf>
    <xf numFmtId="0" fontId="86" fillId="0" borderId="0" xfId="9" applyFont="1" applyAlignment="1">
      <alignment horizontal="justify" vertical="center" wrapText="1"/>
    </xf>
    <xf numFmtId="0" fontId="81" fillId="0" borderId="0" xfId="39" applyFont="1" applyAlignment="1">
      <alignment horizontal="justify" vertical="center" wrapText="1"/>
    </xf>
    <xf numFmtId="191" fontId="130" fillId="0" borderId="102" xfId="44" applyNumberFormat="1" applyFont="1" applyBorder="1" applyAlignment="1">
      <alignment horizontal="left"/>
    </xf>
    <xf numFmtId="188" fontId="130" fillId="0" borderId="153" xfId="43" applyNumberFormat="1" applyFont="1" applyBorder="1" applyAlignment="1">
      <alignment horizontal="left" vertical="center" shrinkToFit="1"/>
    </xf>
    <xf numFmtId="187" fontId="130" fillId="0" borderId="153" xfId="43" applyNumberFormat="1" applyFont="1" applyBorder="1" applyAlignment="1">
      <alignment horizontal="left" vertical="center" shrinkToFit="1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41" fontId="71" fillId="0" borderId="0" xfId="1" applyFont="1" applyAlignment="1">
      <alignment horizontal="center" vertical="center"/>
    </xf>
    <xf numFmtId="0" fontId="78" fillId="0" borderId="146" xfId="9" applyFont="1" applyBorder="1" applyAlignment="1">
      <alignment horizontal="distributed" vertical="center"/>
    </xf>
    <xf numFmtId="20" fontId="83" fillId="0" borderId="125" xfId="39" applyNumberFormat="1" applyFont="1" applyBorder="1" applyAlignment="1">
      <alignment horizontal="center" vertical="center" shrinkToFit="1"/>
    </xf>
    <xf numFmtId="20" fontId="83" fillId="0" borderId="123" xfId="39" applyNumberFormat="1" applyFont="1" applyBorder="1" applyAlignment="1">
      <alignment horizontal="center" vertical="center" shrinkToFit="1"/>
    </xf>
    <xf numFmtId="20" fontId="83" fillId="0" borderId="143" xfId="39" applyNumberFormat="1" applyFont="1" applyBorder="1" applyAlignment="1">
      <alignment horizontal="center" vertical="center" shrinkToFit="1"/>
    </xf>
    <xf numFmtId="0" fontId="25" fillId="0" borderId="0" xfId="79" applyFont="1">
      <alignment vertical="center"/>
    </xf>
    <xf numFmtId="0" fontId="25" fillId="0" borderId="0" xfId="79" applyFont="1" applyAlignment="1">
      <alignment horizontal="left" vertical="center" indent="1"/>
    </xf>
    <xf numFmtId="0" fontId="25" fillId="0" borderId="0" xfId="79" applyFont="1" applyAlignment="1">
      <alignment horizontal="center" vertical="center"/>
    </xf>
    <xf numFmtId="0" fontId="51" fillId="0" borderId="0" xfId="79" applyFont="1">
      <alignment vertical="center"/>
    </xf>
    <xf numFmtId="0" fontId="77" fillId="0" borderId="0" xfId="79" applyFont="1" applyAlignment="1">
      <alignment horizontal="center" vertical="center" wrapText="1"/>
    </xf>
    <xf numFmtId="20" fontId="25" fillId="0" borderId="95" xfId="79" applyNumberFormat="1" applyFont="1" applyBorder="1" applyAlignment="1">
      <alignment horizontal="center" vertical="center"/>
    </xf>
    <xf numFmtId="20" fontId="25" fillId="0" borderId="262" xfId="79" applyNumberFormat="1" applyFont="1" applyBorder="1" applyAlignment="1">
      <alignment horizontal="center" vertical="center"/>
    </xf>
    <xf numFmtId="186" fontId="50" fillId="0" borderId="97" xfId="79" applyNumberFormat="1" applyFont="1" applyBorder="1" applyAlignment="1">
      <alignment horizontal="center" vertical="center"/>
    </xf>
    <xf numFmtId="20" fontId="50" fillId="0" borderId="97" xfId="79" applyNumberFormat="1" applyFont="1" applyBorder="1" applyAlignment="1">
      <alignment horizontal="center" vertical="center"/>
    </xf>
    <xf numFmtId="0" fontId="78" fillId="0" borderId="0" xfId="79" applyFont="1" applyAlignment="1">
      <alignment horizontal="left" vertical="center" indent="1"/>
    </xf>
    <xf numFmtId="0" fontId="78" fillId="0" borderId="0" xfId="79" applyFont="1" applyAlignment="1">
      <alignment horizontal="center" vertical="center"/>
    </xf>
    <xf numFmtId="0" fontId="79" fillId="0" borderId="0" xfId="79" applyFont="1" applyAlignment="1">
      <alignment horizontal="center" vertical="center" wrapText="1"/>
    </xf>
    <xf numFmtId="184" fontId="138" fillId="0" borderId="0" xfId="9" applyNumberFormat="1" applyFont="1" applyAlignment="1">
      <alignment horizontal="center" vertical="center"/>
    </xf>
    <xf numFmtId="193" fontId="25" fillId="0" borderId="0" xfId="79" applyNumberFormat="1" applyFont="1" applyAlignment="1">
      <alignment horizontal="center" vertical="center"/>
    </xf>
    <xf numFmtId="201" fontId="25" fillId="0" borderId="0" xfId="79" applyNumberFormat="1" applyFont="1" applyAlignment="1">
      <alignment horizontal="center" vertical="center"/>
    </xf>
    <xf numFmtId="0" fontId="79" fillId="0" borderId="0" xfId="79" applyFont="1" applyAlignment="1">
      <alignment horizontal="left" vertical="center" wrapText="1"/>
    </xf>
    <xf numFmtId="0" fontId="137" fillId="4" borderId="117" xfId="0" applyFont="1" applyFill="1" applyBorder="1" applyAlignment="1">
      <alignment horizontal="center" vertical="center"/>
    </xf>
    <xf numFmtId="0" fontId="137" fillId="4" borderId="261" xfId="0" applyFont="1" applyFill="1" applyBorder="1" applyAlignment="1">
      <alignment horizontal="center" vertical="center" wrapText="1"/>
    </xf>
    <xf numFmtId="0" fontId="137" fillId="4" borderId="144" xfId="0" applyFont="1" applyFill="1" applyBorder="1" applyAlignment="1">
      <alignment horizontal="center" vertical="center" wrapText="1"/>
    </xf>
    <xf numFmtId="0" fontId="137" fillId="4" borderId="144" xfId="0" applyFont="1" applyFill="1" applyBorder="1" applyAlignment="1">
      <alignment horizontal="center" vertical="center"/>
    </xf>
    <xf numFmtId="0" fontId="36" fillId="4" borderId="144" xfId="0" applyFont="1" applyFill="1" applyBorder="1" applyAlignment="1">
      <alignment horizontal="center" vertical="center"/>
    </xf>
    <xf numFmtId="0" fontId="137" fillId="4" borderId="165" xfId="0" applyFont="1" applyFill="1" applyBorder="1" applyAlignment="1">
      <alignment horizontal="center" vertical="center"/>
    </xf>
    <xf numFmtId="0" fontId="36" fillId="4" borderId="165" xfId="0" applyFont="1" applyFill="1" applyBorder="1" applyAlignment="1">
      <alignment horizontal="center" vertical="center" wrapText="1"/>
    </xf>
    <xf numFmtId="0" fontId="79" fillId="0" borderId="148" xfId="79" applyFont="1" applyBorder="1" applyAlignment="1">
      <alignment horizontal="justify" vertical="center" wrapText="1"/>
    </xf>
    <xf numFmtId="0" fontId="78" fillId="0" borderId="130" xfId="79" applyFont="1" applyBorder="1">
      <alignment vertical="center"/>
    </xf>
    <xf numFmtId="0" fontId="78" fillId="0" borderId="0" xfId="79" applyFont="1" applyAlignment="1">
      <alignment horizontal="justify" vertical="center" wrapText="1"/>
    </xf>
    <xf numFmtId="0" fontId="36" fillId="0" borderId="95" xfId="0" applyFont="1" applyBorder="1" applyAlignment="1">
      <alignment horizontal="center" vertical="center"/>
    </xf>
    <xf numFmtId="183" fontId="33" fillId="0" borderId="264" xfId="1" applyNumberFormat="1" applyFont="1" applyBorder="1" applyAlignment="1">
      <alignment vertical="center"/>
    </xf>
    <xf numFmtId="183" fontId="33" fillId="0" borderId="29" xfId="1" applyNumberFormat="1" applyFont="1" applyBorder="1" applyAlignment="1">
      <alignment vertical="center"/>
    </xf>
    <xf numFmtId="183" fontId="36" fillId="0" borderId="29" xfId="1" applyNumberFormat="1" applyFont="1" applyBorder="1" applyAlignment="1">
      <alignment vertical="center"/>
    </xf>
    <xf numFmtId="183" fontId="41" fillId="0" borderId="29" xfId="1" applyNumberFormat="1" applyFont="1" applyFill="1" applyBorder="1" applyAlignment="1">
      <alignment vertical="center"/>
    </xf>
    <xf numFmtId="41" fontId="30" fillId="0" borderId="164" xfId="1" applyFont="1" applyBorder="1" applyAlignment="1">
      <alignment vertical="center"/>
    </xf>
    <xf numFmtId="183" fontId="33" fillId="0" borderId="164" xfId="1" applyNumberFormat="1" applyFont="1" applyBorder="1" applyAlignment="1">
      <alignment vertical="center"/>
    </xf>
    <xf numFmtId="0" fontId="79" fillId="0" borderId="150" xfId="79" applyFont="1" applyBorder="1" applyAlignment="1">
      <alignment horizontal="justify" vertical="center" wrapText="1"/>
    </xf>
    <xf numFmtId="0" fontId="78" fillId="0" borderId="0" xfId="79" applyFont="1" applyAlignment="1">
      <alignment vertical="center" wrapText="1"/>
    </xf>
    <xf numFmtId="0" fontId="25" fillId="0" borderId="152" xfId="79" applyFont="1" applyBorder="1" applyAlignment="1">
      <alignment vertical="center" wrapText="1"/>
    </xf>
    <xf numFmtId="193" fontId="27" fillId="0" borderId="0" xfId="79" applyNumberFormat="1" applyFont="1" applyAlignment="1">
      <alignment horizontal="left" vertical="center"/>
    </xf>
    <xf numFmtId="43" fontId="25" fillId="0" borderId="0" xfId="79" applyNumberFormat="1" applyFont="1">
      <alignment vertical="center"/>
    </xf>
    <xf numFmtId="183" fontId="25" fillId="0" borderId="0" xfId="1" applyNumberFormat="1" applyFont="1" applyAlignment="1">
      <alignment vertical="center"/>
    </xf>
    <xf numFmtId="0" fontId="79" fillId="0" borderId="171" xfId="79" applyFont="1" applyBorder="1" applyAlignment="1">
      <alignment horizontal="justify" vertical="center" wrapText="1"/>
    </xf>
    <xf numFmtId="0" fontId="78" fillId="0" borderId="146" xfId="79" applyFont="1" applyBorder="1">
      <alignment vertical="center"/>
    </xf>
    <xf numFmtId="0" fontId="80" fillId="0" borderId="146" xfId="79" applyFont="1" applyBorder="1">
      <alignment vertical="center"/>
    </xf>
    <xf numFmtId="0" fontId="137" fillId="4" borderId="31" xfId="0" applyFont="1" applyFill="1" applyBorder="1" applyAlignment="1">
      <alignment horizontal="center" vertical="center" wrapText="1"/>
    </xf>
    <xf numFmtId="0" fontId="36" fillId="4" borderId="120" xfId="0" applyFont="1" applyFill="1" applyBorder="1" applyAlignment="1">
      <alignment horizontal="center" vertical="center"/>
    </xf>
    <xf numFmtId="0" fontId="137" fillId="4" borderId="263" xfId="0" applyFont="1" applyFill="1" applyBorder="1" applyAlignment="1">
      <alignment horizontal="center" vertical="center" wrapText="1"/>
    </xf>
    <xf numFmtId="0" fontId="137" fillId="4" borderId="265" xfId="0" applyFont="1" applyFill="1" applyBorder="1" applyAlignment="1">
      <alignment horizontal="center" vertical="center" wrapText="1"/>
    </xf>
    <xf numFmtId="0" fontId="27" fillId="0" borderId="107" xfId="79" applyFont="1" applyBorder="1" applyAlignment="1">
      <alignment horizontal="center" vertical="center"/>
    </xf>
    <xf numFmtId="0" fontId="78" fillId="0" borderId="0" xfId="79" applyFont="1">
      <alignment vertical="center"/>
    </xf>
    <xf numFmtId="41" fontId="29" fillId="0" borderId="98" xfId="1" applyFont="1" applyBorder="1" applyAlignment="1">
      <alignment horizontal="center" vertical="center"/>
    </xf>
    <xf numFmtId="41" fontId="29" fillId="0" borderId="71" xfId="1" applyFont="1" applyBorder="1" applyAlignment="1">
      <alignment horizontal="center" vertical="center"/>
    </xf>
    <xf numFmtId="41" fontId="25" fillId="0" borderId="9" xfId="1" applyFont="1" applyBorder="1" applyAlignment="1">
      <alignment horizontal="center" vertical="center"/>
    </xf>
    <xf numFmtId="41" fontId="25" fillId="0" borderId="10" xfId="1" applyFont="1" applyBorder="1" applyAlignment="1">
      <alignment horizontal="center" vertical="center"/>
    </xf>
    <xf numFmtId="41" fontId="25" fillId="0" borderId="11" xfId="1" applyFont="1" applyBorder="1" applyAlignment="1">
      <alignment horizontal="center" vertical="center"/>
    </xf>
    <xf numFmtId="41" fontId="27" fillId="0" borderId="126" xfId="79" applyNumberFormat="1" applyFont="1" applyBorder="1" applyAlignment="1">
      <alignment horizontal="center" vertical="center"/>
    </xf>
    <xf numFmtId="0" fontId="27" fillId="0" borderId="0" xfId="79" applyFont="1">
      <alignment vertical="center"/>
    </xf>
    <xf numFmtId="41" fontId="25" fillId="0" borderId="0" xfId="1" applyFont="1" applyAlignment="1">
      <alignment vertical="center"/>
    </xf>
    <xf numFmtId="0" fontId="79" fillId="0" borderId="152" xfId="79" applyFont="1" applyBorder="1" applyAlignment="1">
      <alignment horizontal="justify" vertical="center" wrapText="1"/>
    </xf>
    <xf numFmtId="0" fontId="78" fillId="0" borderId="153" xfId="79" applyFont="1" applyBorder="1" applyAlignment="1">
      <alignment horizontal="left" vertical="center"/>
    </xf>
    <xf numFmtId="0" fontId="78" fillId="0" borderId="153" xfId="79" applyFont="1" applyBorder="1">
      <alignment vertical="center"/>
    </xf>
    <xf numFmtId="41" fontId="29" fillId="0" borderId="87" xfId="1" applyFont="1" applyBorder="1" applyAlignment="1">
      <alignment horizontal="center" vertical="center"/>
    </xf>
    <xf numFmtId="41" fontId="29" fillId="0" borderId="94" xfId="1" applyFont="1" applyBorder="1" applyAlignment="1">
      <alignment horizontal="center" vertical="center"/>
    </xf>
    <xf numFmtId="41" fontId="25" fillId="0" borderId="28" xfId="1" applyFont="1" applyBorder="1" applyAlignment="1">
      <alignment horizontal="center" vertical="center"/>
    </xf>
    <xf numFmtId="41" fontId="28" fillId="0" borderId="12" xfId="1" applyFont="1" applyBorder="1" applyAlignment="1">
      <alignment horizontal="center" vertical="center"/>
    </xf>
    <xf numFmtId="41" fontId="25" fillId="0" borderId="12" xfId="1" applyFont="1" applyBorder="1" applyAlignment="1">
      <alignment horizontal="center" vertical="center"/>
    </xf>
    <xf numFmtId="41" fontId="25" fillId="0" borderId="13" xfId="1" applyFont="1" applyBorder="1" applyAlignment="1">
      <alignment horizontal="center" vertical="center"/>
    </xf>
    <xf numFmtId="41" fontId="27" fillId="0" borderId="127" xfId="79" applyNumberFormat="1" applyFont="1" applyBorder="1" applyAlignment="1">
      <alignment horizontal="center" vertical="center"/>
    </xf>
    <xf numFmtId="0" fontId="80" fillId="0" borderId="0" xfId="79" applyFont="1" applyAlignment="1">
      <alignment horizontal="center" vertical="center" wrapText="1"/>
    </xf>
    <xf numFmtId="41" fontId="29" fillId="0" borderId="94" xfId="1" applyFont="1" applyFill="1" applyBorder="1" applyAlignment="1">
      <alignment horizontal="center" vertical="center"/>
    </xf>
    <xf numFmtId="0" fontId="25" fillId="0" borderId="150" xfId="79" applyFont="1" applyBorder="1" applyAlignment="1">
      <alignment vertical="center" wrapText="1"/>
    </xf>
    <xf numFmtId="0" fontId="78" fillId="0" borderId="0" xfId="79" applyFont="1" applyAlignment="1">
      <alignment horizontal="center" vertical="center" wrapText="1"/>
    </xf>
    <xf numFmtId="0" fontId="30" fillId="0" borderId="0" xfId="79" applyFont="1" applyAlignment="1">
      <alignment vertical="center" shrinkToFit="1"/>
    </xf>
    <xf numFmtId="0" fontId="25" fillId="0" borderId="158" xfId="79" applyFont="1" applyBorder="1" applyAlignment="1">
      <alignment vertical="center" wrapText="1"/>
    </xf>
    <xf numFmtId="0" fontId="30" fillId="0" borderId="147" xfId="79" applyFont="1" applyBorder="1">
      <alignment vertical="center"/>
    </xf>
    <xf numFmtId="0" fontId="30" fillId="0" borderId="147" xfId="79" applyFont="1" applyBorder="1" applyAlignment="1">
      <alignment vertical="center" wrapText="1"/>
    </xf>
    <xf numFmtId="0" fontId="81" fillId="0" borderId="0" xfId="79" applyFont="1" applyAlignment="1">
      <alignment vertical="center" wrapText="1"/>
    </xf>
    <xf numFmtId="0" fontId="81" fillId="0" borderId="0" xfId="79" applyFont="1" applyAlignment="1">
      <alignment horizontal="justify" vertical="center" wrapText="1"/>
    </xf>
    <xf numFmtId="41" fontId="29" fillId="0" borderId="89" xfId="1" applyFont="1" applyBorder="1" applyAlignment="1">
      <alignment horizontal="center" vertical="center"/>
    </xf>
    <xf numFmtId="41" fontId="29" fillId="0" borderId="101" xfId="1" applyFont="1" applyFill="1" applyBorder="1" applyAlignment="1">
      <alignment horizontal="center" vertical="center"/>
    </xf>
    <xf numFmtId="41" fontId="25" fillId="0" borderId="6" xfId="1" applyFont="1" applyBorder="1" applyAlignment="1">
      <alignment horizontal="center" vertical="center"/>
    </xf>
    <xf numFmtId="41" fontId="28" fillId="0" borderId="7" xfId="1" applyFont="1" applyBorder="1" applyAlignment="1">
      <alignment horizontal="center" vertical="center"/>
    </xf>
    <xf numFmtId="41" fontId="25" fillId="0" borderId="7" xfId="1" applyFont="1" applyBorder="1" applyAlignment="1">
      <alignment horizontal="center" vertical="center"/>
    </xf>
    <xf numFmtId="41" fontId="25" fillId="0" borderId="8" xfId="1" applyFont="1" applyBorder="1" applyAlignment="1">
      <alignment horizontal="center" vertical="center"/>
    </xf>
    <xf numFmtId="41" fontId="27" fillId="0" borderId="128" xfId="79" applyNumberFormat="1" applyFont="1" applyBorder="1" applyAlignment="1">
      <alignment horizontal="center" vertical="center"/>
    </xf>
    <xf numFmtId="0" fontId="25" fillId="0" borderId="171" xfId="79" applyFont="1" applyBorder="1">
      <alignment vertical="center"/>
    </xf>
    <xf numFmtId="176" fontId="79" fillId="0" borderId="146" xfId="79" applyNumberFormat="1" applyFont="1" applyBorder="1" applyAlignment="1">
      <alignment horizontal="left" vertical="center" wrapText="1"/>
    </xf>
    <xf numFmtId="0" fontId="78" fillId="0" borderId="146" xfId="79" applyFont="1" applyBorder="1" applyAlignment="1">
      <alignment vertical="center" wrapText="1"/>
    </xf>
    <xf numFmtId="188" fontId="78" fillId="0" borderId="146" xfId="80" applyNumberFormat="1" applyFont="1" applyBorder="1" applyAlignment="1">
      <alignment horizontal="center" vertical="center" wrapText="1"/>
    </xf>
    <xf numFmtId="0" fontId="81" fillId="0" borderId="0" xfId="79" applyFont="1" applyAlignment="1">
      <alignment horizontal="left" vertical="center"/>
    </xf>
    <xf numFmtId="0" fontId="30" fillId="0" borderId="0" xfId="79" applyFont="1" applyAlignment="1">
      <alignment horizontal="center" vertical="center"/>
    </xf>
    <xf numFmtId="195" fontId="30" fillId="0" borderId="0" xfId="79" applyNumberFormat="1" applyFont="1" applyAlignment="1">
      <alignment horizontal="center" vertical="center"/>
    </xf>
    <xf numFmtId="194" fontId="25" fillId="0" borderId="0" xfId="79" applyNumberFormat="1" applyFont="1">
      <alignment vertical="center"/>
    </xf>
    <xf numFmtId="0" fontId="79" fillId="0" borderId="161" xfId="79" applyFont="1" applyBorder="1" applyAlignment="1">
      <alignment horizontal="justify" vertical="center" wrapText="1"/>
    </xf>
    <xf numFmtId="0" fontId="30" fillId="0" borderId="79" xfId="79" applyFont="1" applyBorder="1">
      <alignment vertical="center"/>
    </xf>
    <xf numFmtId="0" fontId="25" fillId="0" borderId="79" xfId="79" applyFont="1" applyBorder="1">
      <alignment vertical="center"/>
    </xf>
    <xf numFmtId="0" fontId="79" fillId="0" borderId="163" xfId="79" applyFont="1" applyBorder="1" applyAlignment="1">
      <alignment horizontal="justify" vertical="center" wrapText="1"/>
    </xf>
    <xf numFmtId="0" fontId="79" fillId="0" borderId="158" xfId="79" applyFont="1" applyBorder="1" applyAlignment="1">
      <alignment horizontal="justify" vertical="center" wrapText="1"/>
    </xf>
    <xf numFmtId="0" fontId="79" fillId="0" borderId="157" xfId="79" applyFont="1" applyBorder="1" applyAlignment="1">
      <alignment horizontal="justify" vertical="center" wrapText="1"/>
    </xf>
    <xf numFmtId="0" fontId="87" fillId="0" borderId="138" xfId="79" applyFont="1" applyBorder="1">
      <alignment vertical="center"/>
    </xf>
    <xf numFmtId="0" fontId="87" fillId="0" borderId="0" xfId="79" applyFont="1">
      <alignment vertical="center"/>
    </xf>
    <xf numFmtId="0" fontId="30" fillId="0" borderId="0" xfId="79" applyFont="1">
      <alignment vertical="center"/>
    </xf>
    <xf numFmtId="0" fontId="30" fillId="0" borderId="0" xfId="79" applyFont="1" applyAlignment="1">
      <alignment vertical="center" wrapText="1"/>
    </xf>
    <xf numFmtId="0" fontId="25" fillId="0" borderId="147" xfId="79" applyFont="1" applyBorder="1">
      <alignment vertical="center"/>
    </xf>
    <xf numFmtId="0" fontId="79" fillId="0" borderId="159" xfId="79" applyFont="1" applyBorder="1" applyAlignment="1">
      <alignment horizontal="justify" vertical="center" wrapText="1"/>
    </xf>
    <xf numFmtId="0" fontId="82" fillId="0" borderId="78" xfId="79" applyFont="1" applyBorder="1" applyAlignment="1">
      <alignment vertical="center" wrapText="1"/>
    </xf>
    <xf numFmtId="0" fontId="99" fillId="0" borderId="79" xfId="79" applyFont="1" applyBorder="1" applyAlignment="1">
      <alignment horizontal="left" vertical="center" wrapText="1"/>
    </xf>
    <xf numFmtId="0" fontId="98" fillId="0" borderId="80" xfId="79" applyFont="1" applyBorder="1" applyAlignment="1">
      <alignment horizontal="left" vertical="center" wrapText="1"/>
    </xf>
    <xf numFmtId="193" fontId="25" fillId="0" borderId="0" xfId="79" applyNumberFormat="1" applyFont="1" applyAlignment="1">
      <alignment horizontal="left" vertical="center"/>
    </xf>
    <xf numFmtId="0" fontId="25" fillId="0" borderId="0" xfId="79" applyFont="1" applyAlignment="1">
      <alignment horizontal="left" vertical="center"/>
    </xf>
    <xf numFmtId="0" fontId="78" fillId="0" borderId="0" xfId="79" applyFont="1" applyAlignment="1">
      <alignment horizontal="left" vertical="center" wrapText="1"/>
    </xf>
    <xf numFmtId="43" fontId="25" fillId="0" borderId="0" xfId="79" applyNumberFormat="1" applyFont="1" applyAlignment="1">
      <alignment horizontal="center" vertical="center"/>
    </xf>
    <xf numFmtId="1" fontId="78" fillId="0" borderId="0" xfId="39" applyNumberFormat="1" applyFont="1">
      <alignment vertical="center"/>
    </xf>
    <xf numFmtId="0" fontId="81" fillId="0" borderId="138" xfId="39" applyFont="1" applyBorder="1" applyAlignment="1">
      <alignment horizontal="left" vertical="center" wrapText="1"/>
    </xf>
    <xf numFmtId="0" fontId="25" fillId="0" borderId="166" xfId="39" applyFont="1" applyBorder="1" applyAlignment="1">
      <alignment horizontal="center" vertical="center"/>
    </xf>
    <xf numFmtId="0" fontId="25" fillId="0" borderId="167" xfId="39" applyFont="1" applyBorder="1" applyAlignment="1">
      <alignment horizontal="center" vertical="center"/>
    </xf>
    <xf numFmtId="197" fontId="81" fillId="0" borderId="138" xfId="39" applyNumberFormat="1" applyFont="1" applyBorder="1" applyAlignment="1">
      <alignment horizontal="center" vertical="center"/>
    </xf>
    <xf numFmtId="0" fontId="25" fillId="0" borderId="0" xfId="39" applyFont="1" applyAlignment="1">
      <alignment horizontal="left" vertical="center"/>
    </xf>
    <xf numFmtId="0" fontId="25" fillId="0" borderId="124" xfId="39" applyFont="1" applyBorder="1" applyAlignment="1">
      <alignment horizontal="center" vertical="center"/>
    </xf>
    <xf numFmtId="0" fontId="78" fillId="0" borderId="21" xfId="39" applyFont="1" applyBorder="1" applyAlignment="1">
      <alignment horizontal="left" vertical="center" shrinkToFit="1"/>
    </xf>
    <xf numFmtId="191" fontId="78" fillId="0" borderId="102" xfId="39" applyNumberFormat="1" applyFont="1" applyBorder="1" applyAlignment="1">
      <alignment horizontal="center" vertical="center" shrinkToFit="1"/>
    </xf>
    <xf numFmtId="0" fontId="38" fillId="0" borderId="0" xfId="35" applyFont="1" applyAlignment="1">
      <alignment horizontal="center" vertical="center" wrapText="1"/>
    </xf>
    <xf numFmtId="0" fontId="38" fillId="0" borderId="0" xfId="35" applyFont="1" applyAlignment="1">
      <alignment horizontal="center" vertical="center"/>
    </xf>
    <xf numFmtId="0" fontId="55" fillId="6" borderId="109" xfId="35" applyFont="1" applyFill="1" applyBorder="1" applyAlignment="1">
      <alignment horizontal="center" vertical="center"/>
    </xf>
    <xf numFmtId="0" fontId="55" fillId="6" borderId="121" xfId="35" applyFont="1" applyFill="1" applyBorder="1" applyAlignment="1">
      <alignment horizontal="center" vertical="center"/>
    </xf>
    <xf numFmtId="180" fontId="55" fillId="0" borderId="121" xfId="35" applyNumberFormat="1" applyFont="1" applyBorder="1" applyAlignment="1">
      <alignment horizontal="center" vertical="center"/>
    </xf>
    <xf numFmtId="180" fontId="55" fillId="0" borderId="114" xfId="35" applyNumberFormat="1" applyFont="1" applyBorder="1" applyAlignment="1">
      <alignment horizontal="center" vertical="center"/>
    </xf>
    <xf numFmtId="0" fontId="29" fillId="0" borderId="26" xfId="35" applyFont="1" applyBorder="1" applyAlignment="1">
      <alignment horizontal="center" vertical="center"/>
    </xf>
    <xf numFmtId="0" fontId="29" fillId="0" borderId="0" xfId="35" applyFont="1" applyAlignment="1">
      <alignment horizontal="center" vertical="center"/>
    </xf>
    <xf numFmtId="31" fontId="29" fillId="0" borderId="26" xfId="35" applyNumberFormat="1" applyFont="1" applyBorder="1" applyAlignment="1">
      <alignment horizontal="center" vertical="center"/>
    </xf>
    <xf numFmtId="31" fontId="29" fillId="0" borderId="0" xfId="35" applyNumberFormat="1" applyFont="1" applyAlignment="1">
      <alignment horizontal="center" vertical="center"/>
    </xf>
    <xf numFmtId="0" fontId="63" fillId="0" borderId="0" xfId="15" applyFont="1" applyAlignment="1">
      <alignment horizontal="center" vertical="center"/>
    </xf>
    <xf numFmtId="0" fontId="63" fillId="0" borderId="0" xfId="35" applyFont="1" applyAlignment="1">
      <alignment horizontal="center" vertical="center"/>
    </xf>
    <xf numFmtId="0" fontId="55" fillId="6" borderId="135" xfId="35" applyFont="1" applyFill="1" applyBorder="1" applyAlignment="1">
      <alignment horizontal="center" vertical="center"/>
    </xf>
    <xf numFmtId="0" fontId="55" fillId="6" borderId="124" xfId="35" applyFont="1" applyFill="1" applyBorder="1" applyAlignment="1">
      <alignment horizontal="center" vertical="center"/>
    </xf>
    <xf numFmtId="0" fontId="55" fillId="0" borderId="124" xfId="35" applyFont="1" applyBorder="1" applyAlignment="1">
      <alignment horizontal="center" vertical="center"/>
    </xf>
    <xf numFmtId="0" fontId="55" fillId="0" borderId="136" xfId="35" applyFont="1" applyBorder="1" applyAlignment="1">
      <alignment horizontal="center" vertical="center"/>
    </xf>
    <xf numFmtId="0" fontId="55" fillId="6" borderId="91" xfId="35" applyFont="1" applyFill="1" applyBorder="1" applyAlignment="1">
      <alignment horizontal="center" vertical="center"/>
    </xf>
    <xf numFmtId="0" fontId="55" fillId="6" borderId="92" xfId="35" applyFont="1" applyFill="1" applyBorder="1" applyAlignment="1">
      <alignment horizontal="center" vertical="center"/>
    </xf>
    <xf numFmtId="0" fontId="55" fillId="7" borderId="92" xfId="35" applyFont="1" applyFill="1" applyBorder="1" applyAlignment="1">
      <alignment horizontal="center" vertical="center"/>
    </xf>
    <xf numFmtId="0" fontId="55" fillId="7" borderId="69" xfId="35" applyFont="1" applyFill="1" applyBorder="1" applyAlignment="1">
      <alignment horizontal="center" vertical="center"/>
    </xf>
    <xf numFmtId="0" fontId="58" fillId="0" borderId="0" xfId="35" applyFont="1" applyAlignment="1">
      <alignment horizontal="center" vertical="center"/>
    </xf>
    <xf numFmtId="0" fontId="64" fillId="2" borderId="16" xfId="35" applyFont="1" applyFill="1" applyBorder="1" applyAlignment="1">
      <alignment horizontal="center" vertical="center" wrapText="1"/>
    </xf>
    <xf numFmtId="0" fontId="64" fillId="2" borderId="25" xfId="35" applyFont="1" applyFill="1" applyBorder="1" applyAlignment="1">
      <alignment horizontal="center" vertical="center" wrapText="1"/>
    </xf>
    <xf numFmtId="0" fontId="64" fillId="2" borderId="1" xfId="35" applyFont="1" applyFill="1" applyBorder="1" applyAlignment="1">
      <alignment horizontal="center" vertical="center" wrapText="1"/>
    </xf>
    <xf numFmtId="0" fontId="62" fillId="0" borderId="0" xfId="35" applyFont="1" applyAlignment="1">
      <alignment horizontal="center" vertical="center"/>
    </xf>
    <xf numFmtId="0" fontId="43" fillId="0" borderId="0" xfId="35" applyFont="1" applyAlignment="1">
      <alignment horizontal="center" vertical="center" wrapText="1"/>
    </xf>
    <xf numFmtId="0" fontId="33" fillId="3" borderId="53" xfId="11" applyFont="1" applyFill="1" applyBorder="1" applyAlignment="1">
      <alignment horizontal="center" vertical="center"/>
    </xf>
    <xf numFmtId="0" fontId="33" fillId="3" borderId="62" xfId="11" applyFont="1" applyFill="1" applyBorder="1" applyAlignment="1">
      <alignment horizontal="center" vertical="center"/>
    </xf>
    <xf numFmtId="0" fontId="33" fillId="0" borderId="43" xfId="11" applyFont="1" applyBorder="1" applyAlignment="1">
      <alignment horizontal="center" vertical="center"/>
    </xf>
    <xf numFmtId="0" fontId="33" fillId="0" borderId="0" xfId="11" applyFont="1" applyAlignment="1">
      <alignment horizontal="center" vertical="center"/>
    </xf>
    <xf numFmtId="0" fontId="90" fillId="3" borderId="120" xfId="11" applyFont="1" applyFill="1" applyBorder="1" applyAlignment="1">
      <alignment horizontal="center" vertical="center"/>
    </xf>
    <xf numFmtId="0" fontId="90" fillId="3" borderId="62" xfId="11" applyFont="1" applyFill="1" applyBorder="1" applyAlignment="1">
      <alignment horizontal="center" vertical="center"/>
    </xf>
    <xf numFmtId="0" fontId="90" fillId="3" borderId="53" xfId="11" applyFont="1" applyFill="1" applyBorder="1" applyAlignment="1">
      <alignment horizontal="center" vertical="center"/>
    </xf>
    <xf numFmtId="0" fontId="90" fillId="3" borderId="58" xfId="11" applyFont="1" applyFill="1" applyBorder="1" applyAlignment="1">
      <alignment horizontal="center" vertical="center"/>
    </xf>
    <xf numFmtId="0" fontId="33" fillId="3" borderId="120" xfId="11" applyFont="1" applyFill="1" applyBorder="1" applyAlignment="1">
      <alignment horizontal="center" vertical="center"/>
    </xf>
    <xf numFmtId="0" fontId="45" fillId="0" borderId="16" xfId="9" applyFont="1" applyBorder="1" applyAlignment="1">
      <alignment horizontal="right" vertical="center"/>
    </xf>
    <xf numFmtId="0" fontId="45" fillId="0" borderId="25" xfId="9" applyFont="1" applyBorder="1" applyAlignment="1">
      <alignment horizontal="right" vertical="center"/>
    </xf>
    <xf numFmtId="0" fontId="45" fillId="0" borderId="25" xfId="9" applyFont="1" applyBorder="1" applyAlignment="1">
      <alignment horizontal="center" vertical="center"/>
    </xf>
    <xf numFmtId="180" fontId="45" fillId="5" borderId="25" xfId="35" applyNumberFormat="1" applyFont="1" applyFill="1" applyBorder="1" applyAlignment="1">
      <alignment horizontal="center" vertical="center"/>
    </xf>
    <xf numFmtId="0" fontId="29" fillId="0" borderId="0" xfId="9" applyFont="1" applyAlignment="1">
      <alignment horizontal="center" vertical="center"/>
    </xf>
    <xf numFmtId="180" fontId="29" fillId="0" borderId="15" xfId="9" applyNumberFormat="1" applyFont="1" applyBorder="1" applyAlignment="1">
      <alignment horizontal="left" vertical="center"/>
    </xf>
    <xf numFmtId="0" fontId="33" fillId="14" borderId="117" xfId="11" applyFont="1" applyFill="1" applyBorder="1" applyAlignment="1">
      <alignment horizontal="center" vertical="center"/>
    </xf>
    <xf numFmtId="0" fontId="33" fillId="14" borderId="82" xfId="11" applyFont="1" applyFill="1" applyBorder="1" applyAlignment="1">
      <alignment horizontal="center" vertical="center"/>
    </xf>
    <xf numFmtId="0" fontId="33" fillId="14" borderId="145" xfId="11" applyFont="1" applyFill="1" applyBorder="1" applyAlignment="1">
      <alignment horizontal="center" vertical="center"/>
    </xf>
    <xf numFmtId="0" fontId="33" fillId="14" borderId="137" xfId="11" applyFont="1" applyFill="1" applyBorder="1" applyAlignment="1">
      <alignment horizontal="center" vertical="center"/>
    </xf>
    <xf numFmtId="0" fontId="33" fillId="14" borderId="118" xfId="11" applyFont="1" applyFill="1" applyBorder="1" applyAlignment="1">
      <alignment horizontal="center" vertical="center"/>
    </xf>
    <xf numFmtId="0" fontId="33" fillId="14" borderId="104" xfId="11" applyFont="1" applyFill="1" applyBorder="1" applyAlignment="1">
      <alignment horizontal="center" vertical="center"/>
    </xf>
    <xf numFmtId="0" fontId="34" fillId="14" borderId="119" xfId="11" applyFont="1" applyFill="1" applyBorder="1" applyAlignment="1">
      <alignment horizontal="center" vertical="center" wrapText="1"/>
    </xf>
    <xf numFmtId="0" fontId="34" fillId="14" borderId="105" xfId="11" applyFont="1" applyFill="1" applyBorder="1" applyAlignment="1">
      <alignment horizontal="center" vertical="center"/>
    </xf>
    <xf numFmtId="0" fontId="33" fillId="14" borderId="120" xfId="11" applyFont="1" applyFill="1" applyBorder="1" applyAlignment="1">
      <alignment horizontal="center" vertical="center" wrapText="1"/>
    </xf>
    <xf numFmtId="0" fontId="33" fillId="14" borderId="68" xfId="11" applyFont="1" applyFill="1" applyBorder="1" applyAlignment="1">
      <alignment horizontal="center" vertical="center"/>
    </xf>
    <xf numFmtId="0" fontId="82" fillId="0" borderId="78" xfId="39" applyFont="1" applyBorder="1" applyAlignment="1">
      <alignment horizontal="left" vertical="center" wrapText="1"/>
    </xf>
    <xf numFmtId="0" fontId="82" fillId="0" borderId="79" xfId="39" applyFont="1" applyBorder="1" applyAlignment="1">
      <alignment horizontal="left" vertical="center" wrapText="1"/>
    </xf>
    <xf numFmtId="0" fontId="98" fillId="0" borderId="79" xfId="39" applyFont="1" applyBorder="1" applyAlignment="1">
      <alignment horizontal="center" vertical="center" wrapText="1"/>
    </xf>
    <xf numFmtId="0" fontId="98" fillId="0" borderId="80" xfId="39" applyFont="1" applyBorder="1" applyAlignment="1">
      <alignment horizontal="center" vertical="center" wrapText="1"/>
    </xf>
    <xf numFmtId="0" fontId="99" fillId="0" borderId="79" xfId="39" applyFont="1" applyBorder="1" applyAlignment="1">
      <alignment horizontal="center" vertical="center" wrapText="1"/>
    </xf>
    <xf numFmtId="0" fontId="78" fillId="0" borderId="0" xfId="39" applyFont="1" applyAlignment="1">
      <alignment horizontal="left" vertical="center" wrapText="1"/>
    </xf>
    <xf numFmtId="0" fontId="78" fillId="0" borderId="153" xfId="39" applyFont="1" applyBorder="1" applyAlignment="1">
      <alignment horizontal="justify" vertical="center" wrapText="1"/>
    </xf>
    <xf numFmtId="31" fontId="68" fillId="0" borderId="0" xfId="39" applyNumberFormat="1" applyFont="1" applyAlignment="1">
      <alignment horizontal="center" vertical="center"/>
    </xf>
    <xf numFmtId="0" fontId="68" fillId="0" borderId="0" xfId="39" applyFont="1" applyAlignment="1">
      <alignment horizontal="center" vertical="center"/>
    </xf>
    <xf numFmtId="0" fontId="82" fillId="0" borderId="73" xfId="39" applyFont="1" applyBorder="1" applyAlignment="1">
      <alignment horizontal="left" vertical="center" wrapText="1"/>
    </xf>
    <xf numFmtId="0" fontId="82" fillId="0" borderId="74" xfId="39" applyFont="1" applyBorder="1" applyAlignment="1">
      <alignment horizontal="left" vertical="center" wrapText="1"/>
    </xf>
    <xf numFmtId="0" fontId="82" fillId="0" borderId="75" xfId="39" applyFont="1" applyBorder="1" applyAlignment="1">
      <alignment horizontal="left" vertical="center" wrapText="1"/>
    </xf>
    <xf numFmtId="0" fontId="82" fillId="0" borderId="77" xfId="39" applyFont="1" applyBorder="1" applyAlignment="1">
      <alignment horizontal="left" vertical="center" wrapText="1"/>
    </xf>
    <xf numFmtId="0" fontId="82" fillId="0" borderId="0" xfId="39" applyFont="1" applyAlignment="1">
      <alignment horizontal="left" vertical="center" wrapText="1"/>
    </xf>
    <xf numFmtId="0" fontId="82" fillId="0" borderId="76" xfId="39" applyFont="1" applyBorder="1" applyAlignment="1">
      <alignment horizontal="left" vertical="center" wrapText="1"/>
    </xf>
    <xf numFmtId="31" fontId="79" fillId="0" borderId="0" xfId="39" applyNumberFormat="1" applyFont="1" applyAlignment="1">
      <alignment horizontal="center" vertical="center"/>
    </xf>
    <xf numFmtId="0" fontId="79" fillId="0" borderId="0" xfId="39" applyFont="1" applyAlignment="1">
      <alignment horizontal="center" vertical="center"/>
    </xf>
    <xf numFmtId="0" fontId="25" fillId="0" borderId="0" xfId="39" applyFont="1" applyAlignment="1">
      <alignment horizontal="left" vertical="center"/>
    </xf>
    <xf numFmtId="0" fontId="78" fillId="0" borderId="0" xfId="9" applyFont="1" applyAlignment="1">
      <alignment horizontal="justify" vertical="center" wrapText="1"/>
    </xf>
    <xf numFmtId="0" fontId="25" fillId="0" borderId="83" xfId="39" applyFont="1" applyBorder="1" applyAlignment="1">
      <alignment horizontal="center" vertical="center"/>
    </xf>
    <xf numFmtId="0" fontId="25" fillId="0" borderId="102" xfId="39" applyFont="1" applyBorder="1" applyAlignment="1">
      <alignment horizontal="center" vertical="center"/>
    </xf>
    <xf numFmtId="0" fontId="25" fillId="0" borderId="88" xfId="39" applyFont="1" applyBorder="1" applyAlignment="1">
      <alignment horizontal="center" vertical="center"/>
    </xf>
    <xf numFmtId="41" fontId="27" fillId="0" borderId="83" xfId="3" quotePrefix="1" applyFont="1" applyBorder="1" applyAlignment="1">
      <alignment horizontal="right" vertical="center"/>
    </xf>
    <xf numFmtId="41" fontId="27" fillId="0" borderId="88" xfId="3" applyFont="1" applyBorder="1" applyAlignment="1">
      <alignment horizontal="right" vertical="center"/>
    </xf>
    <xf numFmtId="41" fontId="25" fillId="0" borderId="83" xfId="39" applyNumberFormat="1" applyFont="1" applyBorder="1" applyAlignment="1">
      <alignment horizontal="center" vertical="center"/>
    </xf>
    <xf numFmtId="41" fontId="27" fillId="0" borderId="83" xfId="3" applyFont="1" applyBorder="1" applyAlignment="1">
      <alignment horizontal="center" vertical="center"/>
    </xf>
    <xf numFmtId="41" fontId="27" fillId="0" borderId="88" xfId="3" applyFont="1" applyBorder="1" applyAlignment="1">
      <alignment horizontal="center" vertical="center"/>
    </xf>
    <xf numFmtId="0" fontId="25" fillId="0" borderId="85" xfId="39" applyFont="1" applyBorder="1" applyAlignment="1">
      <alignment horizontal="center" vertical="center"/>
    </xf>
    <xf numFmtId="0" fontId="25" fillId="0" borderId="36" xfId="39" applyFont="1" applyBorder="1" applyAlignment="1">
      <alignment horizontal="center" vertical="center"/>
    </xf>
    <xf numFmtId="0" fontId="25" fillId="0" borderId="90" xfId="39" applyFont="1" applyBorder="1" applyAlignment="1">
      <alignment horizontal="center" vertical="center"/>
    </xf>
    <xf numFmtId="41" fontId="27" fillId="0" borderId="86" xfId="3" quotePrefix="1" applyFont="1" applyBorder="1" applyAlignment="1">
      <alignment horizontal="right" vertical="center"/>
    </xf>
    <xf numFmtId="41" fontId="27" fillId="0" borderId="137" xfId="3" applyFont="1" applyBorder="1" applyAlignment="1">
      <alignment horizontal="right" vertical="center"/>
    </xf>
    <xf numFmtId="176" fontId="82" fillId="0" borderId="31" xfId="39" applyNumberFormat="1" applyFont="1" applyBorder="1" applyAlignment="1">
      <alignment horizontal="center" vertical="center"/>
    </xf>
    <xf numFmtId="176" fontId="82" fillId="0" borderId="145" xfId="39" applyNumberFormat="1" applyFont="1" applyBorder="1" applyAlignment="1">
      <alignment horizontal="center" vertical="center"/>
    </xf>
    <xf numFmtId="176" fontId="82" fillId="0" borderId="43" xfId="39" applyNumberFormat="1" applyFont="1" applyBorder="1" applyAlignment="1">
      <alignment horizontal="center" vertical="center"/>
    </xf>
    <xf numFmtId="176" fontId="82" fillId="0" borderId="76" xfId="39" applyNumberFormat="1" applyFont="1" applyBorder="1" applyAlignment="1">
      <alignment horizontal="center" vertical="center"/>
    </xf>
    <xf numFmtId="176" fontId="82" fillId="0" borderId="32" xfId="39" applyNumberFormat="1" applyFont="1" applyBorder="1" applyAlignment="1">
      <alignment horizontal="center" vertical="center"/>
    </xf>
    <xf numFmtId="176" fontId="82" fillId="0" borderId="137" xfId="39" applyNumberFormat="1" applyFont="1" applyBorder="1" applyAlignment="1">
      <alignment horizontal="center" vertical="center"/>
    </xf>
    <xf numFmtId="0" fontId="78" fillId="0" borderId="146" xfId="39" applyFont="1" applyBorder="1" applyAlignment="1">
      <alignment horizontal="left" vertical="center" wrapText="1"/>
    </xf>
    <xf numFmtId="188" fontId="87" fillId="0" borderId="146" xfId="39" applyNumberFormat="1" applyFont="1" applyBorder="1" applyAlignment="1">
      <alignment horizontal="center" vertical="center"/>
    </xf>
    <xf numFmtId="0" fontId="78" fillId="0" borderId="146" xfId="39" applyFont="1" applyBorder="1" applyAlignment="1">
      <alignment horizontal="center" vertical="center" wrapText="1"/>
    </xf>
    <xf numFmtId="0" fontId="87" fillId="0" borderId="85" xfId="39" applyFont="1" applyBorder="1" applyAlignment="1">
      <alignment horizontal="center" vertical="center" shrinkToFit="1"/>
    </xf>
    <xf numFmtId="0" fontId="87" fillId="0" borderId="36" xfId="39" applyFont="1" applyBorder="1" applyAlignment="1">
      <alignment horizontal="center" vertical="center" shrinkToFit="1"/>
    </xf>
    <xf numFmtId="0" fontId="87" fillId="0" borderId="24" xfId="39" applyFont="1" applyBorder="1" applyAlignment="1">
      <alignment horizontal="center" vertical="center" shrinkToFit="1"/>
    </xf>
    <xf numFmtId="0" fontId="83" fillId="0" borderId="84" xfId="39" applyFont="1" applyBorder="1" applyAlignment="1">
      <alignment horizontal="center" vertical="center" wrapText="1"/>
    </xf>
    <xf numFmtId="0" fontId="83" fillId="0" borderId="153" xfId="39" applyFont="1" applyBorder="1" applyAlignment="1">
      <alignment horizontal="center" vertical="center" wrapText="1"/>
    </xf>
    <xf numFmtId="0" fontId="83" fillId="0" borderId="103" xfId="39" applyFont="1" applyBorder="1" applyAlignment="1">
      <alignment horizontal="center" vertical="center" wrapText="1"/>
    </xf>
    <xf numFmtId="41" fontId="79" fillId="0" borderId="84" xfId="3" applyFont="1" applyBorder="1" applyAlignment="1">
      <alignment horizontal="center" vertical="center"/>
    </xf>
    <xf numFmtId="41" fontId="79" fillId="0" borderId="103" xfId="3" applyFont="1" applyBorder="1" applyAlignment="1">
      <alignment horizontal="center" vertical="center"/>
    </xf>
    <xf numFmtId="0" fontId="81" fillId="0" borderId="138" xfId="39" applyFont="1" applyBorder="1" applyAlignment="1">
      <alignment horizontal="left" vertical="center" wrapText="1"/>
    </xf>
    <xf numFmtId="197" fontId="81" fillId="0" borderId="138" xfId="39" applyNumberFormat="1" applyFont="1" applyBorder="1" applyAlignment="1">
      <alignment horizontal="left" vertical="center" wrapText="1"/>
    </xf>
    <xf numFmtId="0" fontId="67" fillId="0" borderId="0" xfId="9" applyFont="1" applyAlignment="1">
      <alignment horizontal="left" vertical="center" shrinkToFit="1"/>
    </xf>
    <xf numFmtId="0" fontId="67" fillId="0" borderId="0" xfId="9" applyFont="1" applyAlignment="1">
      <alignment horizontal="left" vertical="center" wrapText="1"/>
    </xf>
    <xf numFmtId="0" fontId="79" fillId="0" borderId="130" xfId="39" applyFont="1" applyBorder="1" applyAlignment="1">
      <alignment horizontal="left" vertical="center" wrapText="1"/>
    </xf>
    <xf numFmtId="0" fontId="79" fillId="0" borderId="130" xfId="39" applyFont="1" applyBorder="1" applyAlignment="1">
      <alignment horizontal="center" vertical="center" wrapText="1"/>
    </xf>
    <xf numFmtId="0" fontId="79" fillId="0" borderId="132" xfId="39" applyFont="1" applyBorder="1" applyAlignment="1">
      <alignment horizontal="left" vertical="center" wrapText="1"/>
    </xf>
    <xf numFmtId="0" fontId="78" fillId="0" borderId="130" xfId="39" applyFont="1" applyBorder="1" applyAlignment="1">
      <alignment horizontal="left" vertical="center"/>
    </xf>
    <xf numFmtId="0" fontId="80" fillId="10" borderId="124" xfId="39" applyFont="1" applyFill="1" applyBorder="1" applyAlignment="1">
      <alignment horizontal="center" vertical="center" wrapText="1"/>
    </xf>
    <xf numFmtId="0" fontId="80" fillId="0" borderId="143" xfId="39" applyFont="1" applyBorder="1" applyAlignment="1">
      <alignment horizontal="center" vertical="center" wrapText="1"/>
    </xf>
    <xf numFmtId="0" fontId="80" fillId="0" borderId="125" xfId="39" applyFont="1" applyBorder="1" applyAlignment="1">
      <alignment horizontal="center" vertical="center" wrapText="1"/>
    </xf>
    <xf numFmtId="0" fontId="80" fillId="0" borderId="123" xfId="39" applyFont="1" applyBorder="1" applyAlignment="1">
      <alignment horizontal="center" vertical="center" wrapText="1"/>
    </xf>
    <xf numFmtId="20" fontId="83" fillId="0" borderId="143" xfId="39" applyNumberFormat="1" applyFont="1" applyBorder="1" applyAlignment="1">
      <alignment horizontal="center" vertical="center" shrinkToFit="1"/>
    </xf>
    <xf numFmtId="20" fontId="83" fillId="0" borderId="125" xfId="39" applyNumberFormat="1" applyFont="1" applyBorder="1" applyAlignment="1">
      <alignment horizontal="center" vertical="center" shrinkToFit="1"/>
    </xf>
    <xf numFmtId="20" fontId="83" fillId="0" borderId="123" xfId="39" applyNumberFormat="1" applyFont="1" applyBorder="1" applyAlignment="1">
      <alignment horizontal="center" vertical="center" shrinkToFit="1"/>
    </xf>
    <xf numFmtId="0" fontId="131" fillId="0" borderId="143" xfId="39" applyFont="1" applyBorder="1" applyAlignment="1">
      <alignment horizontal="center" vertical="center" wrapText="1"/>
    </xf>
    <xf numFmtId="0" fontId="131" fillId="0" borderId="123" xfId="39" applyFont="1" applyBorder="1" applyAlignment="1">
      <alignment horizontal="center" vertical="center" wrapText="1"/>
    </xf>
    <xf numFmtId="0" fontId="86" fillId="0" borderId="0" xfId="9" applyFont="1" applyAlignment="1">
      <alignment horizontal="justify" vertical="center" wrapText="1"/>
    </xf>
    <xf numFmtId="0" fontId="87" fillId="0" borderId="83" xfId="39" applyFont="1" applyBorder="1" applyAlignment="1">
      <alignment horizontal="center" vertical="center" shrinkToFit="1"/>
    </xf>
    <xf numFmtId="0" fontId="87" fillId="0" borderId="102" xfId="39" applyFont="1" applyBorder="1" applyAlignment="1">
      <alignment horizontal="center" vertical="center" shrinkToFit="1"/>
    </xf>
    <xf numFmtId="0" fontId="87" fillId="0" borderId="21" xfId="39" applyFont="1" applyBorder="1" applyAlignment="1">
      <alignment horizontal="center" vertical="center" shrinkToFit="1"/>
    </xf>
    <xf numFmtId="0" fontId="86" fillId="0" borderId="0" xfId="9" applyFont="1" applyAlignment="1">
      <alignment horizontal="left" vertical="center" wrapText="1"/>
    </xf>
    <xf numFmtId="0" fontId="78" fillId="0" borderId="15" xfId="39" applyFont="1" applyBorder="1" applyAlignment="1">
      <alignment horizontal="left" vertical="center" shrinkToFit="1"/>
    </xf>
    <xf numFmtId="0" fontId="30" fillId="0" borderId="15" xfId="39" applyFont="1" applyBorder="1" applyAlignment="1">
      <alignment horizontal="center" vertical="center"/>
    </xf>
    <xf numFmtId="0" fontId="25" fillId="9" borderId="115" xfId="39" applyFont="1" applyFill="1" applyBorder="1" applyAlignment="1">
      <alignment horizontal="center" vertical="center"/>
    </xf>
    <xf numFmtId="0" fontId="25" fillId="9" borderId="112" xfId="39" applyFont="1" applyFill="1" applyBorder="1" applyAlignment="1">
      <alignment horizontal="center" vertical="center"/>
    </xf>
    <xf numFmtId="0" fontId="25" fillId="9" borderId="113" xfId="39" applyFont="1" applyFill="1" applyBorder="1" applyAlignment="1">
      <alignment horizontal="center" vertical="center"/>
    </xf>
    <xf numFmtId="0" fontId="25" fillId="9" borderId="99" xfId="39" applyFont="1" applyFill="1" applyBorder="1" applyAlignment="1">
      <alignment horizontal="center" vertical="center"/>
    </xf>
    <xf numFmtId="0" fontId="25" fillId="9" borderId="169" xfId="39" applyFont="1" applyFill="1" applyBorder="1" applyAlignment="1">
      <alignment horizontal="center" vertical="center"/>
    </xf>
    <xf numFmtId="0" fontId="25" fillId="9" borderId="72" xfId="39" applyFont="1" applyFill="1" applyBorder="1" applyAlignment="1">
      <alignment horizontal="center" vertical="center"/>
    </xf>
    <xf numFmtId="0" fontId="25" fillId="9" borderId="170" xfId="39" applyFont="1" applyFill="1" applyBorder="1" applyAlignment="1">
      <alignment horizontal="center" vertical="center"/>
    </xf>
    <xf numFmtId="41" fontId="78" fillId="0" borderId="146" xfId="1" applyFont="1" applyBorder="1" applyAlignment="1">
      <alignment horizontal="center" vertical="center" wrapText="1"/>
    </xf>
    <xf numFmtId="0" fontId="78" fillId="0" borderId="84" xfId="39" applyFont="1" applyBorder="1" applyAlignment="1">
      <alignment horizontal="center" vertical="center" shrinkToFit="1"/>
    </xf>
    <xf numFmtId="0" fontId="78" fillId="0" borderId="153" xfId="39" applyFont="1" applyBorder="1" applyAlignment="1">
      <alignment horizontal="center" vertical="center" shrinkToFit="1"/>
    </xf>
    <xf numFmtId="0" fontId="25" fillId="9" borderId="111" xfId="39" applyFont="1" applyFill="1" applyBorder="1" applyAlignment="1">
      <alignment horizontal="center" vertical="center"/>
    </xf>
    <xf numFmtId="0" fontId="25" fillId="9" borderId="93" xfId="39" applyFont="1" applyFill="1" applyBorder="1" applyAlignment="1">
      <alignment horizontal="center" vertical="center"/>
    </xf>
    <xf numFmtId="0" fontId="25" fillId="9" borderId="168" xfId="39" applyFont="1" applyFill="1" applyBorder="1" applyAlignment="1">
      <alignment horizontal="center" vertical="center"/>
    </xf>
    <xf numFmtId="0" fontId="25" fillId="0" borderId="15" xfId="79" applyFont="1" applyBorder="1" applyAlignment="1">
      <alignment horizontal="center" vertical="center"/>
    </xf>
    <xf numFmtId="0" fontId="99" fillId="0" borderId="79" xfId="79" applyFont="1" applyBorder="1" applyAlignment="1">
      <alignment horizontal="center" vertical="center" wrapText="1"/>
    </xf>
    <xf numFmtId="31" fontId="68" fillId="0" borderId="0" xfId="79" applyNumberFormat="1" applyFont="1" applyAlignment="1">
      <alignment horizontal="center" vertical="center"/>
    </xf>
    <xf numFmtId="0" fontId="68" fillId="0" borderId="0" xfId="79" applyFont="1" applyAlignment="1">
      <alignment horizontal="center" vertical="center"/>
    </xf>
    <xf numFmtId="0" fontId="82" fillId="9" borderId="143" xfId="79" applyFont="1" applyFill="1" applyBorder="1" applyAlignment="1">
      <alignment horizontal="center" vertical="center" wrapText="1"/>
    </xf>
    <xf numFmtId="0" fontId="82" fillId="9" borderId="125" xfId="79" applyFont="1" applyFill="1" applyBorder="1" applyAlignment="1">
      <alignment horizontal="center" vertical="center" wrapText="1"/>
    </xf>
    <xf numFmtId="0" fontId="82" fillId="9" borderId="123" xfId="79" applyFont="1" applyFill="1" applyBorder="1" applyAlignment="1">
      <alignment horizontal="center" vertical="center" wrapText="1"/>
    </xf>
    <xf numFmtId="0" fontId="82" fillId="0" borderId="73" xfId="79" applyFont="1" applyBorder="1" applyAlignment="1">
      <alignment horizontal="left" vertical="center" wrapText="1"/>
    </xf>
    <xf numFmtId="0" fontId="82" fillId="0" borderId="74" xfId="79" applyFont="1" applyBorder="1" applyAlignment="1">
      <alignment horizontal="left" vertical="center" wrapText="1"/>
    </xf>
    <xf numFmtId="0" fontId="82" fillId="0" borderId="75" xfId="79" applyFont="1" applyBorder="1" applyAlignment="1">
      <alignment horizontal="left" vertical="center" wrapText="1"/>
    </xf>
    <xf numFmtId="0" fontId="82" fillId="0" borderId="77" xfId="39" applyFont="1" applyBorder="1" applyAlignment="1">
      <alignment horizontal="left" vertical="center"/>
    </xf>
    <xf numFmtId="0" fontId="82" fillId="0" borderId="0" xfId="39" applyFont="1" applyAlignment="1">
      <alignment horizontal="left" vertical="center"/>
    </xf>
    <xf numFmtId="0" fontId="82" fillId="0" borderId="76" xfId="39" applyFont="1" applyBorder="1" applyAlignment="1">
      <alignment horizontal="left" vertical="center"/>
    </xf>
    <xf numFmtId="0" fontId="82" fillId="0" borderId="77" xfId="79" applyFont="1" applyBorder="1" applyAlignment="1">
      <alignment horizontal="left" vertical="center" wrapText="1"/>
    </xf>
    <xf numFmtId="0" fontId="82" fillId="0" borderId="0" xfId="79" applyFont="1" applyAlignment="1">
      <alignment horizontal="left" vertical="center" wrapText="1"/>
    </xf>
    <xf numFmtId="0" fontId="82" fillId="0" borderId="76" xfId="79" applyFont="1" applyBorder="1" applyAlignment="1">
      <alignment horizontal="left" vertical="center" wrapText="1"/>
    </xf>
    <xf numFmtId="0" fontId="79" fillId="9" borderId="149" xfId="79" applyFont="1" applyFill="1" applyBorder="1" applyAlignment="1">
      <alignment horizontal="center" vertical="center" wrapText="1"/>
    </xf>
    <xf numFmtId="0" fontId="79" fillId="9" borderId="133" xfId="79" applyFont="1" applyFill="1" applyBorder="1" applyAlignment="1">
      <alignment horizontal="center" vertical="center" wrapText="1"/>
    </xf>
    <xf numFmtId="0" fontId="78" fillId="0" borderId="0" xfId="79" applyFont="1" applyAlignment="1">
      <alignment horizontal="justify" vertical="center" wrapText="1"/>
    </xf>
    <xf numFmtId="0" fontId="78" fillId="0" borderId="132" xfId="79" applyFont="1" applyBorder="1" applyAlignment="1">
      <alignment horizontal="justify" vertical="center" wrapText="1"/>
    </xf>
    <xf numFmtId="31" fontId="83" fillId="0" borderId="0" xfId="79" applyNumberFormat="1" applyFont="1" applyAlignment="1">
      <alignment horizontal="left" vertical="center"/>
    </xf>
    <xf numFmtId="0" fontId="83" fillId="0" borderId="0" xfId="79" applyFont="1" applyAlignment="1">
      <alignment horizontal="left" vertical="center"/>
    </xf>
    <xf numFmtId="0" fontId="25" fillId="0" borderId="0" xfId="79" applyFont="1" applyAlignment="1">
      <alignment horizontal="left" vertical="center"/>
    </xf>
    <xf numFmtId="0" fontId="30" fillId="0" borderId="0" xfId="79" applyFont="1" applyAlignment="1">
      <alignment horizontal="left" vertical="center" wrapText="1"/>
    </xf>
    <xf numFmtId="0" fontId="78" fillId="0" borderId="153" xfId="79" applyFont="1" applyBorder="1" applyAlignment="1">
      <alignment horizontal="left" vertical="center" wrapText="1"/>
    </xf>
    <xf numFmtId="0" fontId="79" fillId="9" borderId="151" xfId="79" applyFont="1" applyFill="1" applyBorder="1" applyAlignment="1">
      <alignment horizontal="center" vertical="center" wrapText="1"/>
    </xf>
    <xf numFmtId="0" fontId="78" fillId="0" borderId="0" xfId="79" applyFont="1" applyAlignment="1">
      <alignment horizontal="left" vertical="center" wrapText="1"/>
    </xf>
    <xf numFmtId="0" fontId="78" fillId="0" borderId="153" xfId="79" applyFont="1" applyBorder="1" applyAlignment="1">
      <alignment horizontal="justify" vertical="center" wrapText="1"/>
    </xf>
    <xf numFmtId="0" fontId="79" fillId="9" borderId="154" xfId="79" applyFont="1" applyFill="1" applyBorder="1" applyAlignment="1">
      <alignment horizontal="center" vertical="center" wrapText="1"/>
    </xf>
    <xf numFmtId="0" fontId="78" fillId="0" borderId="146" xfId="79" applyFont="1" applyBorder="1" applyAlignment="1">
      <alignment vertical="center" shrinkToFit="1"/>
    </xf>
    <xf numFmtId="0" fontId="78" fillId="0" borderId="0" xfId="79" applyFont="1" applyAlignment="1">
      <alignment vertical="center" wrapText="1"/>
    </xf>
    <xf numFmtId="0" fontId="79" fillId="9" borderId="156" xfId="79" applyFont="1" applyFill="1" applyBorder="1" applyAlignment="1">
      <alignment horizontal="center" vertical="center" wrapText="1"/>
    </xf>
    <xf numFmtId="0" fontId="79" fillId="9" borderId="155" xfId="79" applyFont="1" applyFill="1" applyBorder="1" applyAlignment="1">
      <alignment horizontal="center" vertical="center" wrapText="1"/>
    </xf>
    <xf numFmtId="0" fontId="30" fillId="0" borderId="0" xfId="79" applyFont="1" applyAlignment="1">
      <alignment horizontal="left" vertical="center"/>
    </xf>
    <xf numFmtId="0" fontId="30" fillId="0" borderId="147" xfId="79" applyFont="1" applyBorder="1" applyAlignment="1">
      <alignment horizontal="left" vertical="center"/>
    </xf>
    <xf numFmtId="0" fontId="78" fillId="0" borderId="153" xfId="79" applyFont="1" applyBorder="1" applyAlignment="1">
      <alignment horizontal="left" vertical="center"/>
    </xf>
    <xf numFmtId="0" fontId="25" fillId="9" borderId="115" xfId="79" applyFont="1" applyFill="1" applyBorder="1" applyAlignment="1">
      <alignment horizontal="center" vertical="center"/>
    </xf>
    <xf numFmtId="0" fontId="25" fillId="9" borderId="112" xfId="79" applyFont="1" applyFill="1" applyBorder="1" applyAlignment="1">
      <alignment horizontal="center" vertical="center"/>
    </xf>
    <xf numFmtId="0" fontId="25" fillId="9" borderId="113" xfId="79" applyFont="1" applyFill="1" applyBorder="1" applyAlignment="1">
      <alignment horizontal="center" vertical="center"/>
    </xf>
    <xf numFmtId="0" fontId="79" fillId="9" borderId="162" xfId="79" applyFont="1" applyFill="1" applyBorder="1" applyAlignment="1">
      <alignment horizontal="center" vertical="center" wrapText="1"/>
    </xf>
    <xf numFmtId="0" fontId="78" fillId="0" borderId="74" xfId="79" applyFont="1" applyBorder="1" applyAlignment="1">
      <alignment horizontal="left" vertical="center" shrinkToFit="1"/>
    </xf>
    <xf numFmtId="0" fontId="78" fillId="0" borderId="0" xfId="79" applyFont="1" applyAlignment="1">
      <alignment horizontal="left" vertical="center"/>
    </xf>
    <xf numFmtId="0" fontId="78" fillId="0" borderId="147" xfId="79" applyFont="1" applyBorder="1" applyAlignment="1">
      <alignment horizontal="justify" vertical="center" wrapText="1"/>
    </xf>
    <xf numFmtId="176" fontId="82" fillId="0" borderId="32" xfId="79" applyNumberFormat="1" applyFont="1" applyBorder="1" applyAlignment="1">
      <alignment horizontal="center" vertical="center"/>
    </xf>
    <xf numFmtId="176" fontId="82" fillId="0" borderId="137" xfId="79" applyNumberFormat="1" applyFont="1" applyBorder="1" applyAlignment="1">
      <alignment horizontal="center" vertical="center"/>
    </xf>
    <xf numFmtId="176" fontId="38" fillId="0" borderId="96" xfId="79" applyNumberFormat="1" applyFont="1" applyBorder="1" applyAlignment="1">
      <alignment horizontal="center" vertical="center"/>
    </xf>
    <xf numFmtId="176" fontId="38" fillId="0" borderId="25" xfId="79" applyNumberFormat="1" applyFont="1" applyBorder="1" applyAlignment="1">
      <alignment horizontal="center" vertical="center"/>
    </xf>
    <xf numFmtId="176" fontId="38" fillId="0" borderId="96" xfId="3" applyNumberFormat="1" applyFont="1" applyBorder="1" applyAlignment="1">
      <alignment horizontal="center" vertical="center"/>
    </xf>
    <xf numFmtId="176" fontId="38" fillId="0" borderId="25" xfId="3" applyNumberFormat="1" applyFont="1" applyBorder="1" applyAlignment="1">
      <alignment horizontal="center" vertical="center"/>
    </xf>
    <xf numFmtId="176" fontId="38" fillId="0" borderId="96" xfId="79" applyNumberFormat="1" applyFont="1" applyBorder="1" applyAlignment="1">
      <alignment horizontal="center" vertical="center" shrinkToFit="1"/>
    </xf>
    <xf numFmtId="176" fontId="38" fillId="0" borderId="1" xfId="79" applyNumberFormat="1" applyFont="1" applyBorder="1" applyAlignment="1">
      <alignment horizontal="center" vertical="center" shrinkToFit="1"/>
    </xf>
    <xf numFmtId="0" fontId="81" fillId="0" borderId="138" xfId="79" applyFont="1" applyBorder="1" applyAlignment="1">
      <alignment horizontal="left" vertical="center" wrapText="1"/>
    </xf>
    <xf numFmtId="0" fontId="81" fillId="0" borderId="0" xfId="79" applyFont="1" applyAlignment="1">
      <alignment horizontal="left" vertical="center" shrinkToFit="1"/>
    </xf>
    <xf numFmtId="0" fontId="81" fillId="0" borderId="0" xfId="79" applyFont="1" applyAlignment="1">
      <alignment horizontal="justify" vertical="center" wrapText="1"/>
    </xf>
    <xf numFmtId="0" fontId="100" fillId="0" borderId="0" xfId="79" applyFont="1" applyAlignment="1">
      <alignment horizontal="left" vertical="center" shrinkToFit="1"/>
    </xf>
    <xf numFmtId="0" fontId="100" fillId="0" borderId="153" xfId="79" applyFont="1" applyBorder="1" applyAlignment="1">
      <alignment horizontal="center" vertical="center"/>
    </xf>
    <xf numFmtId="0" fontId="92" fillId="0" borderId="0" xfId="79" applyFont="1" applyAlignment="1">
      <alignment horizontal="left" vertical="center"/>
    </xf>
    <xf numFmtId="0" fontId="25" fillId="9" borderId="266" xfId="79" applyFont="1" applyFill="1" applyBorder="1" applyAlignment="1">
      <alignment horizontal="center" vertical="center"/>
    </xf>
    <xf numFmtId="0" fontId="25" fillId="9" borderId="75" xfId="79" applyFont="1" applyFill="1" applyBorder="1" applyAlignment="1">
      <alignment horizontal="center" vertical="center"/>
    </xf>
    <xf numFmtId="0" fontId="25" fillId="9" borderId="32" xfId="79" applyFont="1" applyFill="1" applyBorder="1" applyAlignment="1">
      <alignment horizontal="center" vertical="center"/>
    </xf>
    <xf numFmtId="0" fontId="25" fillId="9" borderId="137" xfId="79" applyFont="1" applyFill="1" applyBorder="1" applyAlignment="1">
      <alignment horizontal="center" vertical="center"/>
    </xf>
    <xf numFmtId="0" fontId="25" fillId="9" borderId="51" xfId="79" applyFont="1" applyFill="1" applyBorder="1" applyAlignment="1">
      <alignment horizontal="center" vertical="center"/>
    </xf>
    <xf numFmtId="0" fontId="25" fillId="9" borderId="4" xfId="79" applyFont="1" applyFill="1" applyBorder="1" applyAlignment="1">
      <alignment horizontal="center" vertical="center"/>
    </xf>
    <xf numFmtId="0" fontId="25" fillId="9" borderId="50" xfId="79" applyFont="1" applyFill="1" applyBorder="1" applyAlignment="1">
      <alignment horizontal="center" vertical="center"/>
    </xf>
    <xf numFmtId="0" fontId="25" fillId="9" borderId="52" xfId="79" applyFont="1" applyFill="1" applyBorder="1" applyAlignment="1">
      <alignment horizontal="center" vertical="center"/>
    </xf>
    <xf numFmtId="0" fontId="25" fillId="9" borderId="49" xfId="79" applyFont="1" applyFill="1" applyBorder="1" applyAlignment="1">
      <alignment horizontal="center" vertical="center"/>
    </xf>
    <xf numFmtId="0" fontId="25" fillId="9" borderId="5" xfId="79" applyFont="1" applyFill="1" applyBorder="1" applyAlignment="1">
      <alignment horizontal="center" vertical="center"/>
    </xf>
    <xf numFmtId="0" fontId="25" fillId="9" borderId="86" xfId="79" applyFont="1" applyFill="1" applyBorder="1" applyAlignment="1">
      <alignment horizontal="center" vertical="center"/>
    </xf>
    <xf numFmtId="0" fontId="25" fillId="9" borderId="15" xfId="79" applyFont="1" applyFill="1" applyBorder="1" applyAlignment="1">
      <alignment horizontal="center" vertical="center"/>
    </xf>
    <xf numFmtId="0" fontId="25" fillId="9" borderId="27" xfId="79" applyFont="1" applyFill="1" applyBorder="1" applyAlignment="1">
      <alignment horizontal="center" vertical="center"/>
    </xf>
    <xf numFmtId="0" fontId="79" fillId="9" borderId="160" xfId="79" applyFont="1" applyFill="1" applyBorder="1" applyAlignment="1">
      <alignment horizontal="center" vertical="center" wrapText="1"/>
    </xf>
    <xf numFmtId="0" fontId="78" fillId="0" borderId="146" xfId="79" applyFont="1" applyBorder="1" applyAlignment="1">
      <alignment horizontal="left" vertical="center" wrapText="1"/>
    </xf>
    <xf numFmtId="188" fontId="87" fillId="0" borderId="146" xfId="79" applyNumberFormat="1" applyFont="1" applyBorder="1" applyAlignment="1">
      <alignment horizontal="center" vertical="center"/>
    </xf>
    <xf numFmtId="0" fontId="78" fillId="0" borderId="146" xfId="79" applyFont="1" applyBorder="1" applyAlignment="1">
      <alignment horizontal="center" vertical="center" wrapText="1"/>
    </xf>
    <xf numFmtId="0" fontId="78" fillId="0" borderId="15" xfId="79" applyFont="1" applyBorder="1" applyAlignment="1">
      <alignment horizontal="left" vertical="center" shrinkToFit="1"/>
    </xf>
    <xf numFmtId="0" fontId="30" fillId="0" borderId="15" xfId="79" applyFont="1" applyBorder="1" applyAlignment="1">
      <alignment horizontal="center" vertical="center"/>
    </xf>
    <xf numFmtId="0" fontId="25" fillId="9" borderId="111" xfId="79" applyFont="1" applyFill="1" applyBorder="1" applyAlignment="1">
      <alignment horizontal="center" vertical="center"/>
    </xf>
    <xf numFmtId="0" fontId="25" fillId="9" borderId="93" xfId="79" applyFont="1" applyFill="1" applyBorder="1" applyAlignment="1">
      <alignment horizontal="center" vertical="center"/>
    </xf>
    <xf numFmtId="0" fontId="30" fillId="0" borderId="0" xfId="79" applyFont="1" applyAlignment="1">
      <alignment horizontal="left" vertical="center" shrinkToFit="1"/>
    </xf>
    <xf numFmtId="0" fontId="78" fillId="0" borderId="173" xfId="79" applyFont="1" applyBorder="1" applyAlignment="1">
      <alignment horizontal="left" vertical="center" wrapText="1"/>
    </xf>
    <xf numFmtId="0" fontId="80" fillId="9" borderId="143" xfId="79" applyFont="1" applyFill="1" applyBorder="1" applyAlignment="1">
      <alignment horizontal="center" vertical="center" wrapText="1"/>
    </xf>
    <xf numFmtId="0" fontId="80" fillId="9" borderId="125" xfId="79" applyFont="1" applyFill="1" applyBorder="1" applyAlignment="1">
      <alignment horizontal="center" vertical="center" wrapText="1"/>
    </xf>
    <xf numFmtId="0" fontId="80" fillId="9" borderId="123" xfId="79" applyFont="1" applyFill="1" applyBorder="1" applyAlignment="1">
      <alignment horizontal="center" vertical="center" wrapText="1"/>
    </xf>
    <xf numFmtId="0" fontId="80" fillId="10" borderId="143" xfId="79" applyFont="1" applyFill="1" applyBorder="1" applyAlignment="1">
      <alignment horizontal="center" vertical="center"/>
    </xf>
    <xf numFmtId="0" fontId="80" fillId="10" borderId="125" xfId="79" applyFont="1" applyFill="1" applyBorder="1" applyAlignment="1">
      <alignment horizontal="center" vertical="center"/>
    </xf>
    <xf numFmtId="0" fontId="80" fillId="10" borderId="123" xfId="79" applyFont="1" applyFill="1" applyBorder="1" applyAlignment="1">
      <alignment horizontal="center" vertical="center"/>
    </xf>
    <xf numFmtId="0" fontId="80" fillId="10" borderId="143" xfId="79" applyFont="1" applyFill="1" applyBorder="1" applyAlignment="1">
      <alignment horizontal="center" vertical="center" wrapText="1"/>
    </xf>
    <xf numFmtId="0" fontId="80" fillId="10" borderId="125" xfId="79" applyFont="1" applyFill="1" applyBorder="1" applyAlignment="1">
      <alignment horizontal="center" vertical="center" wrapText="1"/>
    </xf>
    <xf numFmtId="0" fontId="80" fillId="10" borderId="123" xfId="79" applyFont="1" applyFill="1" applyBorder="1" applyAlignment="1">
      <alignment horizontal="center" vertical="center" wrapText="1"/>
    </xf>
    <xf numFmtId="0" fontId="80" fillId="0" borderId="143" xfId="79" applyFont="1" applyBorder="1" applyAlignment="1">
      <alignment horizontal="center" vertical="center" wrapText="1"/>
    </xf>
    <xf numFmtId="0" fontId="80" fillId="0" borderId="125" xfId="79" applyFont="1" applyBorder="1" applyAlignment="1">
      <alignment horizontal="center" vertical="center" wrapText="1"/>
    </xf>
    <xf numFmtId="0" fontId="80" fillId="0" borderId="123" xfId="79" applyFont="1" applyBorder="1" applyAlignment="1">
      <alignment horizontal="center" vertical="center" wrapText="1"/>
    </xf>
    <xf numFmtId="0" fontId="91" fillId="0" borderId="146" xfId="79" applyFont="1" applyBorder="1" applyAlignment="1">
      <alignment horizontal="center" vertical="center"/>
    </xf>
    <xf numFmtId="181" fontId="78" fillId="0" borderId="146" xfId="79" applyNumberFormat="1" applyFont="1" applyBorder="1" applyAlignment="1">
      <alignment horizontal="left" vertical="center"/>
    </xf>
    <xf numFmtId="0" fontId="91" fillId="0" borderId="0" xfId="79" applyFont="1" applyAlignment="1">
      <alignment horizontal="center" vertical="center"/>
    </xf>
    <xf numFmtId="0" fontId="76" fillId="15" borderId="0" xfId="79" applyFont="1" applyFill="1" applyAlignment="1">
      <alignment horizontal="center" vertical="center" wrapText="1"/>
    </xf>
    <xf numFmtId="0" fontId="79" fillId="0" borderId="130" xfId="79" applyFont="1" applyBorder="1" applyAlignment="1">
      <alignment horizontal="left" vertical="center" wrapText="1"/>
    </xf>
    <xf numFmtId="0" fontId="99" fillId="0" borderId="130" xfId="79" applyFont="1" applyBorder="1" applyAlignment="1">
      <alignment horizontal="left" vertical="center" wrapText="1" indent="4"/>
    </xf>
    <xf numFmtId="0" fontId="79" fillId="0" borderId="130" xfId="79" applyFont="1" applyBorder="1" applyAlignment="1">
      <alignment horizontal="center" vertical="center" wrapText="1"/>
    </xf>
    <xf numFmtId="0" fontId="79" fillId="0" borderId="132" xfId="79" applyFont="1" applyBorder="1" applyAlignment="1">
      <alignment horizontal="left" vertical="center" wrapText="1"/>
    </xf>
    <xf numFmtId="0" fontId="36" fillId="4" borderId="115" xfId="0" applyFont="1" applyFill="1" applyBorder="1" applyAlignment="1">
      <alignment horizontal="center" vertical="center" wrapText="1"/>
    </xf>
    <xf numFmtId="0" fontId="36" fillId="4" borderId="113" xfId="0" applyFont="1" applyFill="1" applyBorder="1" applyAlignment="1">
      <alignment horizontal="center" vertical="center" wrapText="1"/>
    </xf>
    <xf numFmtId="0" fontId="79" fillId="9" borderId="131" xfId="79" applyFont="1" applyFill="1" applyBorder="1" applyAlignment="1">
      <alignment horizontal="center" vertical="center" wrapText="1"/>
    </xf>
    <xf numFmtId="0" fontId="78" fillId="0" borderId="130" xfId="79" applyFont="1" applyBorder="1" applyAlignment="1">
      <alignment horizontal="left" vertical="center"/>
    </xf>
    <xf numFmtId="183" fontId="33" fillId="0" borderId="96" xfId="1" applyNumberFormat="1" applyFont="1" applyBorder="1" applyAlignment="1">
      <alignment horizontal="center" vertical="center"/>
    </xf>
    <xf numFmtId="183" fontId="33" fillId="0" borderId="1" xfId="1" applyNumberFormat="1" applyFont="1" applyBorder="1" applyAlignment="1">
      <alignment horizontal="center" vertical="center"/>
    </xf>
    <xf numFmtId="0" fontId="78" fillId="0" borderId="146" xfId="79" applyFont="1" applyBorder="1" applyAlignment="1">
      <alignment horizontal="left" vertical="center" shrinkToFit="1"/>
    </xf>
    <xf numFmtId="0" fontId="78" fillId="0" borderId="79" xfId="79" applyFont="1" applyBorder="1" applyAlignment="1">
      <alignment horizontal="justify" vertical="center" wrapText="1"/>
    </xf>
    <xf numFmtId="188" fontId="87" fillId="0" borderId="146" xfId="79" applyNumberFormat="1" applyFont="1" applyBorder="1" applyAlignment="1">
      <alignment horizontal="left" vertical="center"/>
    </xf>
    <xf numFmtId="0" fontId="78" fillId="0" borderId="0" xfId="79" applyFont="1" applyAlignment="1">
      <alignment horizontal="left" vertical="center" shrinkToFit="1"/>
    </xf>
    <xf numFmtId="0" fontId="87" fillId="0" borderId="0" xfId="79" applyFont="1" applyAlignment="1">
      <alignment horizontal="left" vertical="center"/>
    </xf>
    <xf numFmtId="176" fontId="78" fillId="0" borderId="153" xfId="79" applyNumberFormat="1" applyFont="1" applyBorder="1" applyAlignment="1">
      <alignment horizontal="left" vertical="center"/>
    </xf>
    <xf numFmtId="181" fontId="91" fillId="0" borderId="146" xfId="39" applyNumberFormat="1" applyFont="1" applyBorder="1" applyAlignment="1">
      <alignment horizontal="distributed" vertical="center" indent="1"/>
    </xf>
    <xf numFmtId="41" fontId="95" fillId="0" borderId="25" xfId="13" applyNumberFormat="1" applyFont="1" applyBorder="1" applyAlignment="1" applyProtection="1">
      <alignment horizontal="center" vertical="center"/>
      <protection locked="0" hidden="1"/>
    </xf>
    <xf numFmtId="41" fontId="95" fillId="0" borderId="1" xfId="13" applyNumberFormat="1" applyFont="1" applyBorder="1" applyAlignment="1" applyProtection="1">
      <alignment horizontal="center" vertical="center"/>
      <protection locked="0" hidden="1"/>
    </xf>
    <xf numFmtId="0" fontId="95" fillId="6" borderId="117" xfId="13" applyFont="1" applyFill="1" applyBorder="1" applyAlignment="1">
      <alignment horizontal="center" vertical="center"/>
    </xf>
    <xf numFmtId="0" fontId="95" fillId="6" borderId="37" xfId="13" applyFont="1" applyFill="1" applyBorder="1" applyAlignment="1">
      <alignment horizontal="center" vertical="center"/>
    </xf>
    <xf numFmtId="0" fontId="95" fillId="6" borderId="82" xfId="13" applyFont="1" applyFill="1" applyBorder="1" applyAlignment="1">
      <alignment horizontal="center" vertical="center"/>
    </xf>
    <xf numFmtId="0" fontId="94" fillId="0" borderId="102" xfId="13" applyFont="1" applyBorder="1" applyAlignment="1">
      <alignment horizontal="left" vertical="center" shrinkToFit="1"/>
    </xf>
    <xf numFmtId="41" fontId="95" fillId="6" borderId="16" xfId="13" applyNumberFormat="1" applyFont="1" applyFill="1" applyBorder="1" applyAlignment="1" applyProtection="1">
      <alignment horizontal="center" vertical="center"/>
      <protection locked="0" hidden="1"/>
    </xf>
    <xf numFmtId="41" fontId="95" fillId="6" borderId="25" xfId="13" applyNumberFormat="1" applyFont="1" applyFill="1" applyBorder="1" applyAlignment="1" applyProtection="1">
      <alignment horizontal="center" vertical="center"/>
      <protection locked="0" hidden="1"/>
    </xf>
    <xf numFmtId="41" fontId="95" fillId="0" borderId="96" xfId="13" applyNumberFormat="1" applyFont="1" applyBorder="1" applyAlignment="1" applyProtection="1">
      <alignment horizontal="center" vertical="center"/>
      <protection locked="0" hidden="1"/>
    </xf>
    <xf numFmtId="41" fontId="95" fillId="6" borderId="30" xfId="13" applyNumberFormat="1" applyFont="1" applyFill="1" applyBorder="1" applyAlignment="1" applyProtection="1">
      <alignment horizontal="center" vertical="center"/>
      <protection locked="0" hidden="1"/>
    </xf>
    <xf numFmtId="0" fontId="95" fillId="6" borderId="117" xfId="13" applyFont="1" applyFill="1" applyBorder="1" applyAlignment="1" applyProtection="1">
      <alignment horizontal="center" vertical="center"/>
      <protection locked="0" hidden="1"/>
    </xf>
    <xf numFmtId="0" fontId="95" fillId="6" borderId="37" xfId="13" applyFont="1" applyFill="1" applyBorder="1" applyAlignment="1" applyProtection="1">
      <alignment horizontal="center" vertical="center"/>
      <protection locked="0" hidden="1"/>
    </xf>
    <xf numFmtId="0" fontId="95" fillId="6" borderId="82" xfId="13" applyFont="1" applyFill="1" applyBorder="1" applyAlignment="1" applyProtection="1">
      <alignment horizontal="center" vertical="center"/>
      <protection locked="0" hidden="1"/>
    </xf>
    <xf numFmtId="41" fontId="128" fillId="6" borderId="110" xfId="13" applyNumberFormat="1" applyFont="1" applyFill="1" applyBorder="1" applyAlignment="1" applyProtection="1">
      <alignment horizontal="center" vertical="center"/>
      <protection locked="0" hidden="1"/>
    </xf>
    <xf numFmtId="41" fontId="128" fillId="6" borderId="77" xfId="13" applyNumberFormat="1" applyFont="1" applyFill="1" applyBorder="1" applyAlignment="1" applyProtection="1">
      <alignment horizontal="center" vertical="center"/>
      <protection locked="0" hidden="1"/>
    </xf>
    <xf numFmtId="41" fontId="128" fillId="6" borderId="78" xfId="13" applyNumberFormat="1" applyFont="1" applyFill="1" applyBorder="1" applyAlignment="1" applyProtection="1">
      <alignment horizontal="center" vertical="center"/>
      <protection locked="0" hidden="1"/>
    </xf>
    <xf numFmtId="41" fontId="95" fillId="6" borderId="120" xfId="13" applyNumberFormat="1" applyFont="1" applyFill="1" applyBorder="1" applyAlignment="1" applyProtection="1">
      <alignment horizontal="center" vertical="center" wrapText="1"/>
      <protection locked="0" hidden="1"/>
    </xf>
    <xf numFmtId="41" fontId="95" fillId="6" borderId="58" xfId="13" applyNumberFormat="1" applyFont="1" applyFill="1" applyBorder="1" applyAlignment="1" applyProtection="1">
      <alignment horizontal="center" vertical="center" wrapText="1"/>
      <protection locked="0" hidden="1"/>
    </xf>
    <xf numFmtId="41" fontId="95" fillId="6" borderId="62" xfId="13" applyNumberFormat="1" applyFont="1" applyFill="1" applyBorder="1" applyAlignment="1" applyProtection="1">
      <alignment horizontal="center" vertical="center" wrapText="1"/>
      <protection locked="0" hidden="1"/>
    </xf>
    <xf numFmtId="41" fontId="128" fillId="6" borderId="116" xfId="13" applyNumberFormat="1" applyFont="1" applyFill="1" applyBorder="1" applyAlignment="1" applyProtection="1">
      <alignment horizontal="center" vertical="center"/>
      <protection locked="0" hidden="1"/>
    </xf>
    <xf numFmtId="41" fontId="128" fillId="6" borderId="38" xfId="13" applyNumberFormat="1" applyFont="1" applyFill="1" applyBorder="1" applyAlignment="1" applyProtection="1">
      <alignment horizontal="center" vertical="center"/>
      <protection locked="0" hidden="1"/>
    </xf>
    <xf numFmtId="41" fontId="128" fillId="6" borderId="64" xfId="13" applyNumberFormat="1" applyFont="1" applyFill="1" applyBorder="1" applyAlignment="1" applyProtection="1">
      <alignment horizontal="center" vertical="center"/>
      <protection locked="0" hidden="1"/>
    </xf>
    <xf numFmtId="41" fontId="94" fillId="0" borderId="73" xfId="13" applyNumberFormat="1" applyFont="1" applyBorder="1" applyAlignment="1" applyProtection="1">
      <alignment horizontal="center" vertical="center"/>
      <protection locked="0" hidden="1"/>
    </xf>
    <xf numFmtId="41" fontId="94" fillId="0" borderId="77" xfId="13" applyNumberFormat="1" applyFont="1" applyBorder="1" applyAlignment="1" applyProtection="1">
      <alignment horizontal="center" vertical="center"/>
      <protection locked="0" hidden="1"/>
    </xf>
    <xf numFmtId="41" fontId="94" fillId="0" borderId="86" xfId="13" applyNumberFormat="1" applyFont="1" applyBorder="1" applyAlignment="1" applyProtection="1">
      <alignment horizontal="center" vertical="center"/>
      <protection locked="0" hidden="1"/>
    </xf>
    <xf numFmtId="41" fontId="95" fillId="0" borderId="53" xfId="13" applyNumberFormat="1" applyFont="1" applyBorder="1" applyAlignment="1" applyProtection="1">
      <alignment horizontal="center" vertical="center"/>
      <protection locked="0" hidden="1"/>
    </xf>
    <xf numFmtId="41" fontId="95" fillId="0" borderId="58" xfId="13" applyNumberFormat="1" applyFont="1" applyBorder="1" applyAlignment="1" applyProtection="1">
      <alignment horizontal="center" vertical="center"/>
      <protection locked="0" hidden="1"/>
    </xf>
    <xf numFmtId="41" fontId="95" fillId="0" borderId="68" xfId="13" applyNumberFormat="1" applyFont="1" applyBorder="1" applyAlignment="1" applyProtection="1">
      <alignment horizontal="center" vertical="center"/>
      <protection locked="0" hidden="1"/>
    </xf>
    <xf numFmtId="41" fontId="94" fillId="0" borderId="81" xfId="13" applyNumberFormat="1" applyFont="1" applyBorder="1" applyAlignment="1" applyProtection="1">
      <alignment horizontal="center" vertical="center"/>
      <protection locked="0" hidden="1"/>
    </xf>
    <xf numFmtId="41" fontId="94" fillId="0" borderId="38" xfId="13" applyNumberFormat="1" applyFont="1" applyBorder="1" applyAlignment="1" applyProtection="1">
      <alignment horizontal="center" vertical="center"/>
      <protection locked="0" hidden="1"/>
    </xf>
    <xf numFmtId="41" fontId="94" fillId="0" borderId="66" xfId="13" applyNumberFormat="1" applyFont="1" applyBorder="1" applyAlignment="1" applyProtection="1">
      <alignment horizontal="center" vertical="center"/>
      <protection locked="0" hidden="1"/>
    </xf>
    <xf numFmtId="41" fontId="95" fillId="6" borderId="120" xfId="13" applyNumberFormat="1" applyFont="1" applyFill="1" applyBorder="1" applyAlignment="1" applyProtection="1">
      <alignment horizontal="center" vertical="center"/>
      <protection locked="0" hidden="1"/>
    </xf>
    <xf numFmtId="41" fontId="95" fillId="6" borderId="58" xfId="13" applyNumberFormat="1" applyFont="1" applyFill="1" applyBorder="1" applyAlignment="1" applyProtection="1">
      <alignment horizontal="center" vertical="center"/>
      <protection locked="0" hidden="1"/>
    </xf>
    <xf numFmtId="41" fontId="95" fillId="6" borderId="62" xfId="13" applyNumberFormat="1" applyFont="1" applyFill="1" applyBorder="1" applyAlignment="1" applyProtection="1">
      <alignment horizontal="center" vertical="center"/>
      <protection locked="0" hidden="1"/>
    </xf>
    <xf numFmtId="14" fontId="95" fillId="0" borderId="135" xfId="13" applyNumberFormat="1" applyFont="1" applyBorder="1" applyAlignment="1" applyProtection="1">
      <alignment horizontal="center" vertical="center"/>
      <protection locked="0" hidden="1"/>
    </xf>
    <xf numFmtId="14" fontId="95" fillId="0" borderId="124" xfId="13" applyNumberFormat="1" applyFont="1" applyBorder="1" applyAlignment="1" applyProtection="1">
      <alignment horizontal="center" vertical="center"/>
      <protection locked="0" hidden="1"/>
    </xf>
    <xf numFmtId="14" fontId="95" fillId="0" borderId="136" xfId="13" applyNumberFormat="1" applyFont="1" applyBorder="1" applyAlignment="1" applyProtection="1">
      <alignment horizontal="center" vertical="center"/>
      <protection locked="0" hidden="1"/>
    </xf>
    <xf numFmtId="41" fontId="95" fillId="0" borderId="109" xfId="13" applyNumberFormat="1" applyFont="1" applyBorder="1" applyAlignment="1" applyProtection="1">
      <alignment horizontal="center" vertical="center"/>
      <protection locked="0" hidden="1"/>
    </xf>
    <xf numFmtId="41" fontId="95" fillId="0" borderId="121" xfId="13" applyNumberFormat="1" applyFont="1" applyBorder="1" applyAlignment="1" applyProtection="1">
      <alignment horizontal="center" vertical="center"/>
      <protection locked="0" hidden="1"/>
    </xf>
    <xf numFmtId="178" fontId="95" fillId="0" borderId="121" xfId="13" applyNumberFormat="1" applyFont="1" applyBorder="1" applyAlignment="1" applyProtection="1">
      <alignment horizontal="center" vertical="center"/>
      <protection locked="0" hidden="1"/>
    </xf>
    <xf numFmtId="178" fontId="95" fillId="0" borderId="170" xfId="13" applyNumberFormat="1" applyFont="1" applyBorder="1" applyAlignment="1" applyProtection="1">
      <alignment horizontal="center" vertical="center"/>
      <protection locked="0" hidden="1"/>
    </xf>
    <xf numFmtId="180" fontId="127" fillId="0" borderId="0" xfId="13" applyNumberFormat="1" applyFont="1" applyAlignment="1" applyProtection="1">
      <alignment vertical="center"/>
      <protection locked="0" hidden="1"/>
    </xf>
    <xf numFmtId="41" fontId="127" fillId="0" borderId="0" xfId="13" applyNumberFormat="1" applyFont="1" applyAlignment="1" applyProtection="1">
      <alignment horizontal="left" vertical="center"/>
      <protection locked="0" hidden="1"/>
    </xf>
    <xf numFmtId="41" fontId="95" fillId="6" borderId="111" xfId="13" applyNumberFormat="1" applyFont="1" applyFill="1" applyBorder="1" applyAlignment="1" applyProtection="1">
      <alignment horizontal="center" vertical="center"/>
      <protection locked="0" hidden="1"/>
    </xf>
    <xf numFmtId="41" fontId="95" fillId="6" borderId="113" xfId="13" applyNumberFormat="1" applyFont="1" applyFill="1" applyBorder="1" applyAlignment="1" applyProtection="1">
      <alignment horizontal="center" vertical="center"/>
      <protection locked="0" hidden="1"/>
    </xf>
    <xf numFmtId="41" fontId="95" fillId="0" borderId="111" xfId="13" applyNumberFormat="1" applyFont="1" applyBorder="1" applyAlignment="1" applyProtection="1">
      <alignment horizontal="center" vertical="center"/>
      <protection locked="0" hidden="1"/>
    </xf>
    <xf numFmtId="41" fontId="95" fillId="0" borderId="93" xfId="13" applyNumberFormat="1" applyFont="1" applyBorder="1" applyAlignment="1" applyProtection="1">
      <alignment horizontal="center" vertical="center"/>
      <protection locked="0" hidden="1"/>
    </xf>
    <xf numFmtId="0" fontId="113" fillId="0" borderId="239" xfId="0" applyFont="1" applyBorder="1" applyAlignment="1">
      <alignment horizontal="center" vertical="center" wrapText="1"/>
    </xf>
    <xf numFmtId="0" fontId="113" fillId="0" borderId="203" xfId="0" applyFont="1" applyBorder="1" applyAlignment="1">
      <alignment horizontal="center" vertical="center" wrapText="1"/>
    </xf>
    <xf numFmtId="0" fontId="113" fillId="0" borderId="236" xfId="0" applyFont="1" applyBorder="1" applyAlignment="1">
      <alignment horizontal="right" vertical="center" wrapText="1"/>
    </xf>
    <xf numFmtId="0" fontId="113" fillId="0" borderId="198" xfId="0" applyFont="1" applyBorder="1" applyAlignment="1">
      <alignment horizontal="right" vertical="center" wrapText="1"/>
    </xf>
    <xf numFmtId="0" fontId="113" fillId="0" borderId="248" xfId="0" applyFont="1" applyBorder="1" applyAlignment="1">
      <alignment horizontal="center" vertical="center" wrapText="1"/>
    </xf>
    <xf numFmtId="0" fontId="113" fillId="0" borderId="186" xfId="0" applyFont="1" applyBorder="1" applyAlignment="1">
      <alignment horizontal="right" vertical="center" wrapText="1"/>
    </xf>
    <xf numFmtId="0" fontId="113" fillId="0" borderId="223" xfId="0" applyFont="1" applyBorder="1" applyAlignment="1">
      <alignment horizontal="center" vertical="center" wrapText="1"/>
    </xf>
    <xf numFmtId="0" fontId="113" fillId="0" borderId="197" xfId="0" applyFont="1" applyBorder="1" applyAlignment="1">
      <alignment horizontal="center" vertical="center" wrapText="1"/>
    </xf>
    <xf numFmtId="0" fontId="113" fillId="0" borderId="236" xfId="0" applyFont="1" applyBorder="1" applyAlignment="1">
      <alignment horizontal="center" vertical="center" wrapText="1"/>
    </xf>
    <xf numFmtId="0" fontId="113" fillId="0" borderId="198" xfId="0" applyFont="1" applyBorder="1" applyAlignment="1">
      <alignment horizontal="center" vertical="center" wrapText="1"/>
    </xf>
    <xf numFmtId="0" fontId="113" fillId="0" borderId="236" xfId="0" applyFont="1" applyBorder="1" applyAlignment="1">
      <alignment vertical="center" wrapText="1"/>
    </xf>
    <xf numFmtId="0" fontId="113" fillId="0" borderId="198" xfId="0" applyFont="1" applyBorder="1" applyAlignment="1">
      <alignment vertical="center" wrapText="1"/>
    </xf>
    <xf numFmtId="41" fontId="113" fillId="0" borderId="236" xfId="1" applyFont="1" applyBorder="1" applyAlignment="1">
      <alignment vertical="center" wrapText="1"/>
    </xf>
    <xf numFmtId="41" fontId="113" fillId="0" borderId="198" xfId="1" applyFont="1" applyBorder="1" applyAlignment="1">
      <alignment vertical="center" wrapText="1"/>
    </xf>
    <xf numFmtId="0" fontId="113" fillId="0" borderId="238" xfId="0" applyFont="1" applyBorder="1" applyAlignment="1">
      <alignment horizontal="center" vertical="center" wrapText="1"/>
    </xf>
    <xf numFmtId="0" fontId="113" fillId="0" borderId="202" xfId="0" applyFont="1" applyBorder="1" applyAlignment="1">
      <alignment horizontal="center" vertical="center" wrapText="1"/>
    </xf>
    <xf numFmtId="0" fontId="113" fillId="0" borderId="192" xfId="0" applyFont="1" applyBorder="1" applyAlignment="1">
      <alignment horizontal="right" vertical="center" wrapText="1"/>
    </xf>
    <xf numFmtId="0" fontId="113" fillId="0" borderId="216" xfId="0" applyFont="1" applyBorder="1" applyAlignment="1">
      <alignment horizontal="right" vertical="center" wrapText="1"/>
    </xf>
    <xf numFmtId="0" fontId="113" fillId="0" borderId="185" xfId="0" applyFont="1" applyBorder="1" applyAlignment="1">
      <alignment horizontal="center" vertical="center" wrapText="1"/>
    </xf>
    <xf numFmtId="0" fontId="113" fillId="0" borderId="186" xfId="0" applyFont="1" applyBorder="1" applyAlignment="1">
      <alignment horizontal="center" vertical="center" wrapText="1"/>
    </xf>
    <xf numFmtId="0" fontId="113" fillId="0" borderId="186" xfId="0" applyFont="1" applyBorder="1" applyAlignment="1">
      <alignment vertical="center" wrapText="1"/>
    </xf>
    <xf numFmtId="41" fontId="113" fillId="0" borderId="186" xfId="1" applyFont="1" applyBorder="1" applyAlignment="1">
      <alignment vertical="center" wrapText="1"/>
    </xf>
    <xf numFmtId="0" fontId="113" fillId="0" borderId="247" xfId="0" applyFont="1" applyBorder="1" applyAlignment="1">
      <alignment horizontal="center" vertical="center" wrapText="1"/>
    </xf>
    <xf numFmtId="0" fontId="113" fillId="0" borderId="192" xfId="0" applyFont="1" applyBorder="1" applyAlignment="1">
      <alignment horizontal="center" vertical="center" wrapText="1"/>
    </xf>
    <xf numFmtId="0" fontId="113" fillId="0" borderId="252" xfId="0" applyFont="1" applyBorder="1" applyAlignment="1">
      <alignment vertical="center" wrapText="1"/>
    </xf>
    <xf numFmtId="0" fontId="113" fillId="0" borderId="252" xfId="0" applyFont="1" applyBorder="1" applyAlignment="1">
      <alignment horizontal="center" vertical="center" wrapText="1"/>
    </xf>
    <xf numFmtId="41" fontId="113" fillId="0" borderId="192" xfId="1" applyFont="1" applyBorder="1" applyAlignment="1">
      <alignment vertical="center" wrapText="1"/>
    </xf>
    <xf numFmtId="41" fontId="113" fillId="0" borderId="216" xfId="1" applyFont="1" applyBorder="1" applyAlignment="1">
      <alignment vertical="center" wrapText="1"/>
    </xf>
    <xf numFmtId="0" fontId="113" fillId="0" borderId="190" xfId="0" applyFont="1" applyBorder="1" applyAlignment="1">
      <alignment horizontal="center" vertical="center" wrapText="1"/>
    </xf>
    <xf numFmtId="0" fontId="113" fillId="0" borderId="218" xfId="0" applyFont="1" applyBorder="1" applyAlignment="1">
      <alignment horizontal="center" vertical="center" wrapText="1"/>
    </xf>
    <xf numFmtId="0" fontId="113" fillId="0" borderId="253" xfId="0" applyFont="1" applyBorder="1" applyAlignment="1">
      <alignment horizontal="center" vertical="center" wrapText="1"/>
    </xf>
    <xf numFmtId="0" fontId="113" fillId="0" borderId="226" xfId="0" applyFont="1" applyBorder="1" applyAlignment="1">
      <alignment horizontal="center" vertical="center" wrapText="1"/>
    </xf>
    <xf numFmtId="0" fontId="113" fillId="0" borderId="216" xfId="0" applyFont="1" applyBorder="1" applyAlignment="1">
      <alignment horizontal="center" vertical="center" wrapText="1"/>
    </xf>
    <xf numFmtId="0" fontId="113" fillId="0" borderId="254" xfId="0" applyFont="1" applyBorder="1" applyAlignment="1">
      <alignment vertical="center" wrapText="1"/>
    </xf>
    <xf numFmtId="0" fontId="113" fillId="0" borderId="254" xfId="0" applyFont="1" applyBorder="1" applyAlignment="1">
      <alignment horizontal="center" vertical="center" wrapText="1"/>
    </xf>
    <xf numFmtId="0" fontId="113" fillId="0" borderId="255" xfId="0" applyFont="1" applyBorder="1" applyAlignment="1">
      <alignment horizontal="center" vertical="center" wrapText="1"/>
    </xf>
    <xf numFmtId="0" fontId="113" fillId="0" borderId="192" xfId="0" applyFont="1" applyBorder="1" applyAlignment="1">
      <alignment vertical="center" wrapText="1"/>
    </xf>
    <xf numFmtId="0" fontId="113" fillId="0" borderId="191" xfId="0" applyFont="1" applyBorder="1" applyAlignment="1">
      <alignment horizontal="center" vertical="center" wrapText="1"/>
    </xf>
    <xf numFmtId="0" fontId="113" fillId="0" borderId="216" xfId="0" applyFont="1" applyBorder="1" applyAlignment="1">
      <alignment vertical="center" wrapText="1"/>
    </xf>
    <xf numFmtId="0" fontId="113" fillId="0" borderId="219" xfId="0" applyFont="1" applyBorder="1" applyAlignment="1">
      <alignment horizontal="center" vertical="center" wrapText="1"/>
    </xf>
    <xf numFmtId="0" fontId="113" fillId="7" borderId="239" xfId="0" applyFont="1" applyFill="1" applyBorder="1" applyAlignment="1">
      <alignment horizontal="center" vertical="center" wrapText="1"/>
    </xf>
    <xf numFmtId="0" fontId="113" fillId="7" borderId="243" xfId="0" applyFont="1" applyFill="1" applyBorder="1" applyAlignment="1">
      <alignment horizontal="center" vertical="center" wrapText="1"/>
    </xf>
    <xf numFmtId="0" fontId="113" fillId="7" borderId="236" xfId="0" applyFont="1" applyFill="1" applyBorder="1" applyAlignment="1">
      <alignment horizontal="right" vertical="center" wrapText="1"/>
    </xf>
    <xf numFmtId="0" fontId="113" fillId="7" borderId="240" xfId="0" applyFont="1" applyFill="1" applyBorder="1" applyAlignment="1">
      <alignment horizontal="right" vertical="center" wrapText="1"/>
    </xf>
    <xf numFmtId="0" fontId="52" fillId="7" borderId="223" xfId="0" applyFont="1" applyFill="1" applyBorder="1" applyAlignment="1">
      <alignment horizontal="center" vertical="center" wrapText="1"/>
    </xf>
    <xf numFmtId="0" fontId="52" fillId="7" borderId="226" xfId="0" applyFont="1" applyFill="1" applyBorder="1" applyAlignment="1">
      <alignment horizontal="center" vertical="center" wrapText="1"/>
    </xf>
    <xf numFmtId="0" fontId="52" fillId="7" borderId="236" xfId="0" applyFont="1" applyFill="1" applyBorder="1" applyAlignment="1">
      <alignment horizontal="center" vertical="center" wrapText="1"/>
    </xf>
    <xf numFmtId="0" fontId="52" fillId="7" borderId="240" xfId="0" applyFont="1" applyFill="1" applyBorder="1" applyAlignment="1">
      <alignment horizontal="center" vertical="center" wrapText="1"/>
    </xf>
    <xf numFmtId="0" fontId="52" fillId="7" borderId="236" xfId="0" applyFont="1" applyFill="1" applyBorder="1" applyAlignment="1">
      <alignment vertical="center" wrapText="1"/>
    </xf>
    <xf numFmtId="0" fontId="52" fillId="7" borderId="240" xfId="0" applyFont="1" applyFill="1" applyBorder="1" applyAlignment="1">
      <alignment vertical="center" wrapText="1"/>
    </xf>
    <xf numFmtId="0" fontId="113" fillId="7" borderId="236" xfId="0" applyFont="1" applyFill="1" applyBorder="1" applyAlignment="1">
      <alignment vertical="center" wrapText="1"/>
    </xf>
    <xf numFmtId="0" fontId="113" fillId="7" borderId="240" xfId="0" applyFont="1" applyFill="1" applyBorder="1" applyAlignment="1">
      <alignment vertical="center" wrapText="1"/>
    </xf>
    <xf numFmtId="0" fontId="113" fillId="7" borderId="236" xfId="0" applyFont="1" applyFill="1" applyBorder="1" applyAlignment="1">
      <alignment horizontal="center" vertical="center" wrapText="1"/>
    </xf>
    <xf numFmtId="0" fontId="113" fillId="7" borderId="240" xfId="0" applyFont="1" applyFill="1" applyBorder="1" applyAlignment="1">
      <alignment horizontal="center" vertical="center" wrapText="1"/>
    </xf>
    <xf numFmtId="41" fontId="53" fillId="7" borderId="236" xfId="1" applyFont="1" applyFill="1" applyBorder="1" applyAlignment="1">
      <alignment vertical="center" wrapText="1"/>
    </xf>
    <xf numFmtId="41" fontId="53" fillId="7" borderId="240" xfId="1" applyFont="1" applyFill="1" applyBorder="1" applyAlignment="1">
      <alignment vertical="center" wrapText="1"/>
    </xf>
    <xf numFmtId="0" fontId="113" fillId="7" borderId="238" xfId="0" applyFont="1" applyFill="1" applyBorder="1" applyAlignment="1">
      <alignment horizontal="center" vertical="center" wrapText="1"/>
    </xf>
    <xf numFmtId="0" fontId="113" fillId="7" borderId="242" xfId="0" applyFont="1" applyFill="1" applyBorder="1" applyAlignment="1">
      <alignment horizontal="center" vertical="center" wrapText="1"/>
    </xf>
    <xf numFmtId="0" fontId="113" fillId="0" borderId="250" xfId="0" applyFont="1" applyBorder="1" applyAlignment="1">
      <alignment horizontal="center" vertical="center" wrapText="1"/>
    </xf>
    <xf numFmtId="0" fontId="113" fillId="0" borderId="240" xfId="0" applyFont="1" applyBorder="1" applyAlignment="1">
      <alignment horizontal="center" vertical="center" wrapText="1"/>
    </xf>
    <xf numFmtId="0" fontId="113" fillId="0" borderId="251" xfId="0" applyFont="1" applyBorder="1" applyAlignment="1">
      <alignment horizontal="center" vertical="center" wrapText="1"/>
    </xf>
    <xf numFmtId="0" fontId="113" fillId="0" borderId="240" xfId="0" applyFont="1" applyBorder="1" applyAlignment="1">
      <alignment vertical="center" wrapText="1"/>
    </xf>
    <xf numFmtId="0" fontId="113" fillId="0" borderId="251" xfId="0" applyFont="1" applyBorder="1" applyAlignment="1">
      <alignment vertical="center" wrapText="1"/>
    </xf>
    <xf numFmtId="0" fontId="113" fillId="0" borderId="240" xfId="0" applyFont="1" applyBorder="1" applyAlignment="1">
      <alignment horizontal="right" vertical="center" wrapText="1"/>
    </xf>
    <xf numFmtId="0" fontId="52" fillId="0" borderId="185" xfId="0" applyFont="1" applyBorder="1" applyAlignment="1">
      <alignment horizontal="center" vertical="center" wrapText="1"/>
    </xf>
    <xf numFmtId="0" fontId="52" fillId="0" borderId="197" xfId="0" applyFont="1" applyBorder="1" applyAlignment="1">
      <alignment horizontal="center" vertical="center" wrapText="1"/>
    </xf>
    <xf numFmtId="0" fontId="52" fillId="0" borderId="186" xfId="0" applyFont="1" applyBorder="1" applyAlignment="1">
      <alignment horizontal="center" vertical="center" wrapText="1"/>
    </xf>
    <xf numFmtId="0" fontId="52" fillId="0" borderId="198" xfId="0" applyFont="1" applyBorder="1" applyAlignment="1">
      <alignment horizontal="center" vertical="center" wrapText="1"/>
    </xf>
    <xf numFmtId="0" fontId="52" fillId="0" borderId="186" xfId="0" applyFont="1" applyBorder="1" applyAlignment="1">
      <alignment vertical="center" wrapText="1"/>
    </xf>
    <xf numFmtId="0" fontId="52" fillId="0" borderId="198" xfId="0" applyFont="1" applyBorder="1" applyAlignment="1">
      <alignment vertical="center" wrapText="1"/>
    </xf>
    <xf numFmtId="41" fontId="117" fillId="0" borderId="186" xfId="1" applyFont="1" applyBorder="1" applyAlignment="1">
      <alignment vertical="center" wrapText="1"/>
    </xf>
    <xf numFmtId="41" fontId="117" fillId="0" borderId="198" xfId="1" applyFont="1" applyBorder="1" applyAlignment="1">
      <alignment vertical="center" wrapText="1"/>
    </xf>
    <xf numFmtId="0" fontId="52" fillId="0" borderId="223" xfId="0" applyFont="1" applyBorder="1" applyAlignment="1">
      <alignment horizontal="center" vertical="center" wrapText="1"/>
    </xf>
    <xf numFmtId="0" fontId="52" fillId="0" borderId="226" xfId="0" applyFont="1" applyBorder="1" applyAlignment="1">
      <alignment horizontal="center" vertical="center" wrapText="1"/>
    </xf>
    <xf numFmtId="0" fontId="52" fillId="0" borderId="236" xfId="0" applyFont="1" applyBorder="1" applyAlignment="1">
      <alignment horizontal="center" vertical="center" wrapText="1"/>
    </xf>
    <xf numFmtId="0" fontId="52" fillId="0" borderId="240" xfId="0" applyFont="1" applyBorder="1" applyAlignment="1">
      <alignment horizontal="center" vertical="center" wrapText="1"/>
    </xf>
    <xf numFmtId="0" fontId="52" fillId="0" borderId="236" xfId="0" applyFont="1" applyBorder="1" applyAlignment="1">
      <alignment vertical="center" wrapText="1"/>
    </xf>
    <xf numFmtId="0" fontId="52" fillId="0" borderId="240" xfId="0" applyFont="1" applyBorder="1" applyAlignment="1">
      <alignment vertical="center" wrapText="1"/>
    </xf>
    <xf numFmtId="41" fontId="117" fillId="0" borderId="236" xfId="1" applyFont="1" applyBorder="1" applyAlignment="1">
      <alignment vertical="center" wrapText="1"/>
    </xf>
    <xf numFmtId="41" fontId="117" fillId="0" borderId="240" xfId="1" applyFont="1" applyBorder="1" applyAlignment="1">
      <alignment vertical="center" wrapText="1"/>
    </xf>
    <xf numFmtId="0" fontId="113" fillId="0" borderId="242" xfId="0" applyFont="1" applyBorder="1" applyAlignment="1">
      <alignment horizontal="center" vertical="center" wrapText="1"/>
    </xf>
    <xf numFmtId="0" fontId="113" fillId="0" borderId="243" xfId="0" applyFont="1" applyBorder="1" applyAlignment="1">
      <alignment horizontal="center" vertical="center" wrapText="1"/>
    </xf>
    <xf numFmtId="41" fontId="53" fillId="0" borderId="236" xfId="1" applyFont="1" applyBorder="1" applyAlignment="1">
      <alignment vertical="center" wrapText="1"/>
    </xf>
    <xf numFmtId="41" fontId="53" fillId="0" borderId="240" xfId="1" applyFont="1" applyBorder="1" applyAlignment="1">
      <alignment vertical="center" wrapText="1"/>
    </xf>
    <xf numFmtId="0" fontId="113" fillId="2" borderId="180" xfId="9" applyFont="1" applyFill="1" applyBorder="1" applyAlignment="1" applyProtection="1">
      <alignment vertical="center" wrapText="1"/>
      <protection locked="0"/>
    </xf>
    <xf numFmtId="0" fontId="113" fillId="2" borderId="198" xfId="9" applyFont="1" applyFill="1" applyBorder="1" applyAlignment="1" applyProtection="1">
      <alignment vertical="center" wrapText="1"/>
      <protection locked="0"/>
    </xf>
    <xf numFmtId="0" fontId="113" fillId="2" borderId="184" xfId="9" applyFont="1" applyFill="1" applyBorder="1" applyAlignment="1" applyProtection="1">
      <alignment vertical="center" wrapText="1"/>
      <protection locked="0"/>
    </xf>
    <xf numFmtId="0" fontId="113" fillId="2" borderId="207" xfId="9" applyFont="1" applyFill="1" applyBorder="1" applyAlignment="1" applyProtection="1">
      <alignment vertical="center" wrapText="1"/>
      <protection locked="0"/>
    </xf>
    <xf numFmtId="0" fontId="52" fillId="0" borderId="192" xfId="0" applyFont="1" applyBorder="1" applyAlignment="1">
      <alignment horizontal="center" vertical="center" wrapText="1"/>
    </xf>
    <xf numFmtId="0" fontId="52" fillId="0" borderId="216" xfId="0" applyFont="1" applyBorder="1" applyAlignment="1">
      <alignment horizontal="center" vertical="center" wrapText="1"/>
    </xf>
    <xf numFmtId="0" fontId="52" fillId="0" borderId="192" xfId="0" applyFont="1" applyBorder="1" applyAlignment="1">
      <alignment vertical="center" wrapText="1"/>
    </xf>
    <xf numFmtId="0" fontId="52" fillId="0" borderId="216" xfId="0" applyFont="1" applyBorder="1" applyAlignment="1">
      <alignment vertical="center" wrapText="1"/>
    </xf>
    <xf numFmtId="199" fontId="105" fillId="2" borderId="231" xfId="9" applyNumberFormat="1" applyFont="1" applyFill="1" applyBorder="1" applyAlignment="1" applyProtection="1">
      <alignment horizontal="center" vertical="center" wrapText="1"/>
      <protection locked="0"/>
    </xf>
    <xf numFmtId="199" fontId="105" fillId="2" borderId="205" xfId="9" applyNumberFormat="1" applyFont="1" applyFill="1" applyBorder="1" applyAlignment="1" applyProtection="1">
      <alignment horizontal="center" vertical="center" wrapText="1"/>
      <protection locked="0"/>
    </xf>
    <xf numFmtId="199" fontId="105" fillId="2" borderId="231" xfId="9" applyNumberFormat="1" applyFont="1" applyFill="1" applyBorder="1" applyAlignment="1" applyProtection="1">
      <alignment horizontal="center" vertical="center" shrinkToFit="1"/>
      <protection locked="0"/>
    </xf>
    <xf numFmtId="199" fontId="105" fillId="2" borderId="205" xfId="9" applyNumberFormat="1" applyFont="1" applyFill="1" applyBorder="1" applyAlignment="1" applyProtection="1">
      <alignment horizontal="center" vertical="center" shrinkToFit="1"/>
      <protection locked="0"/>
    </xf>
    <xf numFmtId="199" fontId="105" fillId="2" borderId="232" xfId="9" applyNumberFormat="1" applyFont="1" applyFill="1" applyBorder="1" applyAlignment="1" applyProtection="1">
      <alignment horizontal="center" vertical="center" wrapText="1"/>
      <protection locked="0"/>
    </xf>
    <xf numFmtId="199" fontId="105" fillId="2" borderId="206" xfId="9" applyNumberFormat="1" applyFont="1" applyFill="1" applyBorder="1" applyAlignment="1" applyProtection="1">
      <alignment horizontal="center" vertical="center" wrapText="1"/>
      <protection locked="0"/>
    </xf>
    <xf numFmtId="199" fontId="105" fillId="2" borderId="180" xfId="9" applyNumberFormat="1" applyFont="1" applyFill="1" applyBorder="1" applyAlignment="1" applyProtection="1">
      <alignment horizontal="center" vertical="center" wrapText="1"/>
      <protection locked="0"/>
    </xf>
    <xf numFmtId="199" fontId="105" fillId="2" borderId="198" xfId="9" applyNumberFormat="1" applyFont="1" applyFill="1" applyBorder="1" applyAlignment="1" applyProtection="1">
      <alignment horizontal="center" vertical="center" wrapText="1"/>
      <protection locked="0"/>
    </xf>
    <xf numFmtId="41" fontId="53" fillId="2" borderId="180" xfId="3" applyFont="1" applyFill="1" applyBorder="1" applyAlignment="1" applyProtection="1">
      <alignment vertical="center" wrapText="1"/>
      <protection locked="0"/>
    </xf>
    <xf numFmtId="41" fontId="53" fillId="2" borderId="198" xfId="3" applyFont="1" applyFill="1" applyBorder="1" applyAlignment="1" applyProtection="1">
      <alignment vertical="center" wrapText="1"/>
      <protection locked="0"/>
    </xf>
    <xf numFmtId="0" fontId="113" fillId="2" borderId="210" xfId="9" applyFont="1" applyFill="1" applyBorder="1" applyAlignment="1" applyProtection="1">
      <alignment horizontal="center" vertical="center" wrapText="1"/>
      <protection locked="0"/>
    </xf>
    <xf numFmtId="0" fontId="113" fillId="2" borderId="202" xfId="9" applyFont="1" applyFill="1" applyBorder="1" applyAlignment="1" applyProtection="1">
      <alignment horizontal="center" vertical="center" wrapText="1"/>
      <protection locked="0"/>
    </xf>
    <xf numFmtId="0" fontId="113" fillId="2" borderId="211" xfId="9" applyFont="1" applyFill="1" applyBorder="1" applyAlignment="1" applyProtection="1">
      <alignment horizontal="center" vertical="center" wrapText="1"/>
      <protection locked="0"/>
    </xf>
    <xf numFmtId="0" fontId="113" fillId="2" borderId="203" xfId="9" applyFont="1" applyFill="1" applyBorder="1" applyAlignment="1" applyProtection="1">
      <alignment horizontal="center" vertical="center" wrapText="1"/>
      <protection locked="0"/>
    </xf>
    <xf numFmtId="0" fontId="113" fillId="2" borderId="180" xfId="9" applyFont="1" applyFill="1" applyBorder="1" applyAlignment="1" applyProtection="1">
      <alignment horizontal="right" vertical="center" wrapText="1"/>
      <protection locked="0"/>
    </xf>
    <xf numFmtId="0" fontId="113" fillId="2" borderId="198" xfId="9" applyFont="1" applyFill="1" applyBorder="1" applyAlignment="1" applyProtection="1">
      <alignment horizontal="right" vertical="center" wrapText="1"/>
      <protection locked="0"/>
    </xf>
    <xf numFmtId="176" fontId="111" fillId="2" borderId="180" xfId="9" applyNumberFormat="1" applyFont="1" applyFill="1" applyBorder="1" applyAlignment="1" applyProtection="1">
      <alignment horizontal="center" vertical="center" wrapText="1"/>
      <protection locked="0"/>
    </xf>
    <xf numFmtId="176" fontId="111" fillId="2" borderId="198" xfId="9" applyNumberFormat="1" applyFont="1" applyFill="1" applyBorder="1" applyAlignment="1" applyProtection="1">
      <alignment horizontal="center" vertical="center" wrapText="1"/>
      <protection locked="0"/>
    </xf>
    <xf numFmtId="199" fontId="105" fillId="2" borderId="230" xfId="9" applyNumberFormat="1" applyFont="1" applyFill="1" applyBorder="1" applyAlignment="1" applyProtection="1">
      <alignment horizontal="center" vertical="center" wrapText="1"/>
      <protection locked="0"/>
    </xf>
    <xf numFmtId="199" fontId="105" fillId="2" borderId="204" xfId="9" applyNumberFormat="1" applyFont="1" applyFill="1" applyBorder="1" applyAlignment="1" applyProtection="1">
      <alignment horizontal="center" vertical="center" wrapText="1"/>
      <protection locked="0"/>
    </xf>
    <xf numFmtId="41" fontId="53" fillId="0" borderId="192" xfId="1" applyFont="1" applyBorder="1" applyAlignment="1">
      <alignment vertical="center" wrapText="1"/>
    </xf>
    <xf numFmtId="41" fontId="53" fillId="0" borderId="216" xfId="1" applyFont="1" applyBorder="1" applyAlignment="1">
      <alignment vertical="center" wrapText="1"/>
    </xf>
    <xf numFmtId="198" fontId="105" fillId="0" borderId="192" xfId="3" applyNumberFormat="1" applyFont="1" applyBorder="1" applyAlignment="1" applyProtection="1">
      <alignment horizontal="center" vertical="center" wrapText="1"/>
      <protection locked="0"/>
    </xf>
    <xf numFmtId="198" fontId="105" fillId="0" borderId="216" xfId="3" applyNumberFormat="1" applyFont="1" applyBorder="1" applyAlignment="1" applyProtection="1">
      <alignment horizontal="center" vertical="center" wrapText="1"/>
      <protection locked="0"/>
    </xf>
    <xf numFmtId="176" fontId="115" fillId="0" borderId="192" xfId="9" applyNumberFormat="1" applyFont="1" applyBorder="1" applyAlignment="1" applyProtection="1">
      <alignment horizontal="center" vertical="center" wrapText="1"/>
      <protection locked="0"/>
    </xf>
    <xf numFmtId="176" fontId="115" fillId="0" borderId="216" xfId="9" applyNumberFormat="1" applyFont="1" applyBorder="1" applyAlignment="1" applyProtection="1">
      <alignment horizontal="center" vertical="center" wrapText="1"/>
      <protection locked="0"/>
    </xf>
    <xf numFmtId="0" fontId="113" fillId="0" borderId="192" xfId="9" applyFont="1" applyBorder="1" applyAlignment="1" applyProtection="1">
      <alignment vertical="center" wrapText="1"/>
      <protection locked="0"/>
    </xf>
    <xf numFmtId="0" fontId="113" fillId="0" borderId="216" xfId="9" applyFont="1" applyBorder="1" applyAlignment="1" applyProtection="1">
      <alignment vertical="center" wrapText="1"/>
      <protection locked="0"/>
    </xf>
    <xf numFmtId="0" fontId="113" fillId="0" borderId="225" xfId="9" applyFont="1" applyBorder="1" applyAlignment="1" applyProtection="1">
      <alignment horizontal="center" vertical="center" wrapText="1"/>
      <protection locked="0"/>
    </xf>
    <xf numFmtId="0" fontId="113" fillId="0" borderId="222" xfId="9" applyFont="1" applyBorder="1" applyAlignment="1" applyProtection="1">
      <alignment horizontal="center" vertical="center" wrapText="1"/>
      <protection locked="0"/>
    </xf>
    <xf numFmtId="0" fontId="52" fillId="2" borderId="179" xfId="9" applyFont="1" applyFill="1" applyBorder="1" applyAlignment="1" applyProtection="1">
      <alignment horizontal="center" vertical="center" wrapText="1"/>
      <protection locked="0"/>
    </xf>
    <xf numFmtId="0" fontId="52" fillId="2" borderId="197" xfId="9" applyFont="1" applyFill="1" applyBorder="1" applyAlignment="1" applyProtection="1">
      <alignment horizontal="center" vertical="center" wrapText="1"/>
      <protection locked="0"/>
    </xf>
    <xf numFmtId="0" fontId="52" fillId="2" borderId="180" xfId="9" applyFont="1" applyFill="1" applyBorder="1" applyAlignment="1" applyProtection="1">
      <alignment horizontal="center" vertical="center" wrapText="1"/>
      <protection locked="0"/>
    </xf>
    <xf numFmtId="0" fontId="52" fillId="2" borderId="198" xfId="9" applyFont="1" applyFill="1" applyBorder="1" applyAlignment="1" applyProtection="1">
      <alignment horizontal="center" vertical="center" wrapText="1"/>
      <protection locked="0"/>
    </xf>
    <xf numFmtId="0" fontId="52" fillId="2" borderId="180" xfId="9" applyFont="1" applyFill="1" applyBorder="1" applyAlignment="1" applyProtection="1">
      <alignment vertical="center" wrapText="1"/>
      <protection locked="0"/>
    </xf>
    <xf numFmtId="0" fontId="52" fillId="2" borderId="198" xfId="9" applyFont="1" applyFill="1" applyBorder="1" applyAlignment="1" applyProtection="1">
      <alignment vertical="center" wrapText="1"/>
      <protection locked="0"/>
    </xf>
    <xf numFmtId="0" fontId="113" fillId="2" borderId="180" xfId="9" applyFont="1" applyFill="1" applyBorder="1" applyAlignment="1" applyProtection="1">
      <alignment horizontal="center" vertical="center" wrapText="1"/>
      <protection locked="0"/>
    </xf>
    <xf numFmtId="0" fontId="113" fillId="2" borderId="198" xfId="9" applyFont="1" applyFill="1" applyBorder="1" applyAlignment="1" applyProtection="1">
      <alignment horizontal="center" vertical="center" wrapText="1"/>
      <protection locked="0"/>
    </xf>
    <xf numFmtId="198" fontId="114" fillId="6" borderId="213" xfId="3" applyNumberFormat="1" applyFont="1" applyFill="1" applyBorder="1" applyAlignment="1" applyProtection="1">
      <alignment horizontal="center" vertical="center" wrapText="1"/>
      <protection locked="0"/>
    </xf>
    <xf numFmtId="198" fontId="114" fillId="7" borderId="213" xfId="3" applyNumberFormat="1" applyFont="1" applyFill="1" applyBorder="1" applyAlignment="1" applyProtection="1">
      <alignment horizontal="center" vertical="center" wrapText="1"/>
      <protection locked="0"/>
    </xf>
    <xf numFmtId="198" fontId="114" fillId="7" borderId="221" xfId="3" applyNumberFormat="1" applyFont="1" applyFill="1" applyBorder="1" applyAlignment="1" applyProtection="1">
      <alignment horizontal="center" vertical="center" wrapText="1"/>
      <protection locked="0"/>
    </xf>
    <xf numFmtId="198" fontId="54" fillId="6" borderId="192" xfId="3" applyNumberFormat="1" applyFont="1" applyFill="1" applyBorder="1" applyAlignment="1" applyProtection="1">
      <alignment horizontal="center" vertical="center" wrapText="1"/>
      <protection locked="0"/>
    </xf>
    <xf numFmtId="198" fontId="54" fillId="6" borderId="216" xfId="3" applyNumberFormat="1" applyFont="1" applyFill="1" applyBorder="1" applyAlignment="1" applyProtection="1">
      <alignment horizontal="center" vertical="center" wrapText="1"/>
      <protection locked="0"/>
    </xf>
    <xf numFmtId="41" fontId="52" fillId="6" borderId="192" xfId="1" applyFont="1" applyFill="1" applyBorder="1" applyAlignment="1" applyProtection="1">
      <alignment vertical="center" wrapText="1"/>
      <protection locked="0"/>
    </xf>
    <xf numFmtId="41" fontId="52" fillId="6" borderId="216" xfId="1" applyFont="1" applyFill="1" applyBorder="1" applyAlignment="1" applyProtection="1">
      <alignment vertical="center" wrapText="1"/>
      <protection locked="0"/>
    </xf>
    <xf numFmtId="0" fontId="113" fillId="0" borderId="191" xfId="0" applyFont="1" applyBorder="1" applyAlignment="1" applyProtection="1">
      <alignment horizontal="center" vertical="center" wrapText="1"/>
      <protection locked="0"/>
    </xf>
    <xf numFmtId="0" fontId="113" fillId="0" borderId="219" xfId="0" applyFont="1" applyBorder="1" applyAlignment="1" applyProtection="1">
      <alignment horizontal="center" vertical="center" wrapText="1"/>
      <protection locked="0"/>
    </xf>
    <xf numFmtId="0" fontId="113" fillId="6" borderId="192" xfId="0" applyFont="1" applyFill="1" applyBorder="1" applyAlignment="1" applyProtection="1">
      <alignment horizontal="right" vertical="center" wrapText="1"/>
      <protection locked="0"/>
    </xf>
    <xf numFmtId="0" fontId="113" fillId="6" borderId="216" xfId="0" applyFont="1" applyFill="1" applyBorder="1" applyAlignment="1" applyProtection="1">
      <alignment horizontal="right" vertical="center" wrapText="1"/>
      <protection locked="0"/>
    </xf>
    <xf numFmtId="176" fontId="111" fillId="6" borderId="220" xfId="9" applyNumberFormat="1" applyFont="1" applyFill="1" applyBorder="1" applyAlignment="1">
      <alignment horizontal="center" vertical="center" wrapText="1"/>
    </xf>
    <xf numFmtId="198" fontId="114" fillId="6" borderId="224" xfId="3" applyNumberFormat="1" applyFont="1" applyFill="1" applyBorder="1" applyAlignment="1" applyProtection="1">
      <alignment horizontal="center" vertical="center" wrapText="1"/>
      <protection locked="0"/>
    </xf>
    <xf numFmtId="176" fontId="54" fillId="2" borderId="180" xfId="9" applyNumberFormat="1" applyFont="1" applyFill="1" applyBorder="1" applyAlignment="1" applyProtection="1">
      <alignment horizontal="center" vertical="center" wrapText="1"/>
      <protection locked="0"/>
    </xf>
    <xf numFmtId="176" fontId="54" fillId="2" borderId="198" xfId="9" applyNumberFormat="1" applyFont="1" applyFill="1" applyBorder="1" applyAlignment="1" applyProtection="1">
      <alignment horizontal="center" vertical="center" wrapText="1"/>
      <protection locked="0"/>
    </xf>
    <xf numFmtId="0" fontId="52" fillId="6" borderId="223" xfId="0" applyFont="1" applyFill="1" applyBorder="1" applyAlignment="1" applyProtection="1">
      <alignment horizontal="center" vertical="center" wrapText="1"/>
      <protection locked="0"/>
    </xf>
    <xf numFmtId="0" fontId="52" fillId="6" borderId="226" xfId="0" applyFont="1" applyFill="1" applyBorder="1" applyAlignment="1" applyProtection="1">
      <alignment horizontal="center" vertical="center" wrapText="1"/>
      <protection locked="0"/>
    </xf>
    <xf numFmtId="0" fontId="52" fillId="6" borderId="192" xfId="0" applyFont="1" applyFill="1" applyBorder="1" applyAlignment="1" applyProtection="1">
      <alignment horizontal="center" vertical="center" wrapText="1"/>
      <protection locked="0"/>
    </xf>
    <xf numFmtId="0" fontId="52" fillId="6" borderId="216" xfId="0" applyFont="1" applyFill="1" applyBorder="1" applyAlignment="1" applyProtection="1">
      <alignment horizontal="center" vertical="center" wrapText="1"/>
      <protection locked="0"/>
    </xf>
    <xf numFmtId="0" fontId="52" fillId="6" borderId="192" xfId="0" applyFont="1" applyFill="1" applyBorder="1" applyAlignment="1" applyProtection="1">
      <alignment vertical="center" wrapText="1"/>
      <protection locked="0"/>
    </xf>
    <xf numFmtId="0" fontId="52" fillId="6" borderId="216" xfId="0" applyFont="1" applyFill="1" applyBorder="1" applyAlignment="1" applyProtection="1">
      <alignment vertical="center" wrapText="1"/>
      <protection locked="0"/>
    </xf>
    <xf numFmtId="0" fontId="113" fillId="6" borderId="192" xfId="0" applyFont="1" applyFill="1" applyBorder="1" applyAlignment="1" applyProtection="1">
      <alignment vertical="center" wrapText="1"/>
      <protection locked="0"/>
    </xf>
    <xf numFmtId="0" fontId="113" fillId="6" borderId="216" xfId="0" applyFont="1" applyFill="1" applyBorder="1" applyAlignment="1" applyProtection="1">
      <alignment vertical="center" wrapText="1"/>
      <protection locked="0"/>
    </xf>
    <xf numFmtId="0" fontId="113" fillId="6" borderId="192" xfId="0" applyFont="1" applyFill="1" applyBorder="1" applyAlignment="1" applyProtection="1">
      <alignment horizontal="center" vertical="center" wrapText="1"/>
      <protection locked="0"/>
    </xf>
    <xf numFmtId="0" fontId="113" fillId="6" borderId="216" xfId="0" applyFont="1" applyFill="1" applyBorder="1" applyAlignment="1" applyProtection="1">
      <alignment horizontal="center" vertical="center" wrapText="1"/>
      <protection locked="0"/>
    </xf>
    <xf numFmtId="0" fontId="46" fillId="0" borderId="225" xfId="9" applyFont="1" applyBorder="1" applyAlignment="1" applyProtection="1">
      <alignment horizontal="center" vertical="center" wrapText="1"/>
      <protection locked="0"/>
    </xf>
    <xf numFmtId="0" fontId="46" fillId="0" borderId="222" xfId="9" applyFont="1" applyBorder="1" applyAlignment="1" applyProtection="1">
      <alignment horizontal="center" vertical="center" wrapText="1"/>
      <protection locked="0"/>
    </xf>
    <xf numFmtId="198" fontId="54" fillId="6" borderId="192" xfId="3" applyNumberFormat="1" applyFont="1" applyFill="1" applyBorder="1" applyAlignment="1" applyProtection="1">
      <alignment horizontal="center" vertical="center" shrinkToFit="1"/>
      <protection locked="0"/>
    </xf>
    <xf numFmtId="198" fontId="54" fillId="6" borderId="216" xfId="3" applyNumberFormat="1" applyFont="1" applyFill="1" applyBorder="1" applyAlignment="1" applyProtection="1">
      <alignment horizontal="center" vertical="center" shrinkToFit="1"/>
      <protection locked="0"/>
    </xf>
    <xf numFmtId="0" fontId="120" fillId="0" borderId="190" xfId="9" applyFont="1" applyBorder="1" applyAlignment="1" applyProtection="1">
      <alignment horizontal="center" vertical="center" wrapText="1"/>
      <protection locked="0"/>
    </xf>
    <xf numFmtId="0" fontId="120" fillId="0" borderId="218" xfId="9" applyFont="1" applyBorder="1" applyAlignment="1" applyProtection="1">
      <alignment horizontal="center" vertical="center" wrapText="1"/>
      <protection locked="0"/>
    </xf>
    <xf numFmtId="192" fontId="113" fillId="0" borderId="190" xfId="0" applyNumberFormat="1" applyFont="1" applyBorder="1" applyAlignment="1">
      <alignment horizontal="center" vertical="center" wrapText="1"/>
    </xf>
    <xf numFmtId="192" fontId="113" fillId="0" borderId="218" xfId="0" applyNumberFormat="1" applyFont="1" applyBorder="1" applyAlignment="1">
      <alignment horizontal="center" vertical="center" wrapText="1"/>
    </xf>
    <xf numFmtId="41" fontId="120" fillId="6" borderId="192" xfId="1" applyFont="1" applyFill="1" applyBorder="1" applyAlignment="1" applyProtection="1">
      <alignment horizontal="center" vertical="center" wrapText="1"/>
      <protection locked="0"/>
    </xf>
    <xf numFmtId="41" fontId="120" fillId="6" borderId="216" xfId="1" applyFont="1" applyFill="1" applyBorder="1" applyAlignment="1" applyProtection="1">
      <alignment horizontal="center" vertical="center" wrapText="1"/>
      <protection locked="0"/>
    </xf>
    <xf numFmtId="198" fontId="114" fillId="6" borderId="214" xfId="3" applyNumberFormat="1" applyFont="1" applyFill="1" applyBorder="1" applyAlignment="1" applyProtection="1">
      <alignment horizontal="center" vertical="center" wrapText="1"/>
      <protection locked="0"/>
    </xf>
    <xf numFmtId="198" fontId="114" fillId="7" borderId="214" xfId="3" applyNumberFormat="1" applyFont="1" applyFill="1" applyBorder="1" applyAlignment="1" applyProtection="1">
      <alignment horizontal="center" vertical="center" wrapText="1"/>
      <protection locked="0"/>
    </xf>
    <xf numFmtId="41" fontId="52" fillId="6" borderId="180" xfId="1" applyFont="1" applyFill="1" applyBorder="1" applyAlignment="1" applyProtection="1">
      <alignment vertical="center" wrapText="1"/>
      <protection locked="0"/>
    </xf>
    <xf numFmtId="192" fontId="113" fillId="0" borderId="210" xfId="0" applyNumberFormat="1" applyFont="1" applyBorder="1" applyAlignment="1">
      <alignment horizontal="center" vertical="center" wrapText="1"/>
    </xf>
    <xf numFmtId="0" fontId="113" fillId="0" borderId="211" xfId="0" applyFont="1" applyBorder="1" applyAlignment="1" applyProtection="1">
      <alignment horizontal="center" vertical="center" wrapText="1"/>
      <protection locked="0"/>
    </xf>
    <xf numFmtId="0" fontId="113" fillId="6" borderId="180" xfId="0" applyFont="1" applyFill="1" applyBorder="1" applyAlignment="1" applyProtection="1">
      <alignment horizontal="right" vertical="center" wrapText="1"/>
      <protection locked="0"/>
    </xf>
    <xf numFmtId="176" fontId="111" fillId="6" borderId="212" xfId="9" applyNumberFormat="1" applyFont="1" applyFill="1" applyBorder="1" applyAlignment="1">
      <alignment horizontal="center" vertical="center" wrapText="1"/>
    </xf>
    <xf numFmtId="0" fontId="52" fillId="6" borderId="179" xfId="0" applyFont="1" applyFill="1" applyBorder="1" applyAlignment="1" applyProtection="1">
      <alignment horizontal="center" vertical="center" wrapText="1"/>
      <protection locked="0"/>
    </xf>
    <xf numFmtId="0" fontId="52" fillId="6" borderId="185" xfId="0" applyFont="1" applyFill="1" applyBorder="1" applyAlignment="1" applyProtection="1">
      <alignment horizontal="center" vertical="center" wrapText="1"/>
      <protection locked="0"/>
    </xf>
    <xf numFmtId="0" fontId="52" fillId="6" borderId="180" xfId="0" applyFont="1" applyFill="1" applyBorder="1" applyAlignment="1" applyProtection="1">
      <alignment horizontal="center" vertical="center" wrapText="1"/>
      <protection locked="0"/>
    </xf>
    <xf numFmtId="0" fontId="113" fillId="6" borderId="180" xfId="0" applyFont="1" applyFill="1" applyBorder="1" applyAlignment="1" applyProtection="1">
      <alignment vertical="center" wrapText="1"/>
      <protection locked="0"/>
    </xf>
    <xf numFmtId="41" fontId="120" fillId="6" borderId="180" xfId="1" applyFont="1" applyFill="1" applyBorder="1" applyAlignment="1" applyProtection="1">
      <alignment horizontal="center" vertical="center" wrapText="1"/>
      <protection locked="0"/>
    </xf>
    <xf numFmtId="0" fontId="111" fillId="3" borderId="184" xfId="9" applyFont="1" applyFill="1" applyBorder="1" applyAlignment="1" applyProtection="1">
      <alignment horizontal="center" vertical="center" wrapText="1"/>
      <protection locked="0"/>
    </xf>
    <xf numFmtId="0" fontId="111" fillId="3" borderId="196" xfId="9" applyFont="1" applyFill="1" applyBorder="1" applyAlignment="1" applyProtection="1">
      <alignment horizontal="center" vertical="center" wrapText="1"/>
      <protection locked="0"/>
    </xf>
    <xf numFmtId="0" fontId="111" fillId="3" borderId="207" xfId="9" applyFont="1" applyFill="1" applyBorder="1" applyAlignment="1" applyProtection="1">
      <alignment horizontal="center" vertical="center" wrapText="1"/>
      <protection locked="0"/>
    </xf>
    <xf numFmtId="0" fontId="111" fillId="3" borderId="190" xfId="0" applyFont="1" applyFill="1" applyBorder="1" applyAlignment="1" applyProtection="1">
      <alignment horizontal="center" vertical="center" wrapText="1"/>
      <protection locked="0"/>
    </xf>
    <xf numFmtId="0" fontId="111" fillId="3" borderId="191" xfId="0" applyFont="1" applyFill="1" applyBorder="1" applyAlignment="1" applyProtection="1">
      <alignment horizontal="center" vertical="center" wrapText="1"/>
      <protection locked="0"/>
    </xf>
    <xf numFmtId="0" fontId="111" fillId="3" borderId="202" xfId="0" applyFont="1" applyFill="1" applyBorder="1" applyAlignment="1" applyProtection="1">
      <alignment horizontal="center" vertical="center" wrapText="1"/>
      <protection locked="0"/>
    </xf>
    <xf numFmtId="0" fontId="111" fillId="3" borderId="203" xfId="0" applyFont="1" applyFill="1" applyBorder="1" applyAlignment="1" applyProtection="1">
      <alignment horizontal="center" vertical="center" wrapText="1"/>
      <protection locked="0"/>
    </xf>
    <xf numFmtId="0" fontId="111" fillId="3" borderId="192" xfId="9" applyFont="1" applyFill="1" applyBorder="1" applyAlignment="1" applyProtection="1">
      <alignment horizontal="center" vertical="center" wrapText="1"/>
      <protection locked="0"/>
    </xf>
    <xf numFmtId="0" fontId="111" fillId="3" borderId="198" xfId="9" applyFont="1" applyFill="1" applyBorder="1" applyAlignment="1" applyProtection="1">
      <alignment horizontal="center" vertical="center" wrapText="1"/>
      <protection locked="0"/>
    </xf>
    <xf numFmtId="0" fontId="111" fillId="3" borderId="193" xfId="9" applyFont="1" applyFill="1" applyBorder="1" applyAlignment="1" applyProtection="1">
      <alignment horizontal="center" vertical="center" wrapText="1"/>
      <protection locked="0"/>
    </xf>
    <xf numFmtId="0" fontId="111" fillId="3" borderId="194" xfId="9" applyFont="1" applyFill="1" applyBorder="1" applyAlignment="1" applyProtection="1">
      <alignment horizontal="center" vertical="center" wrapText="1"/>
      <protection locked="0"/>
    </xf>
    <xf numFmtId="0" fontId="111" fillId="3" borderId="195" xfId="9" applyFont="1" applyFill="1" applyBorder="1" applyAlignment="1" applyProtection="1">
      <alignment horizontal="center" vertical="center" wrapText="1"/>
      <protection locked="0"/>
    </xf>
    <xf numFmtId="0" fontId="54" fillId="3" borderId="192" xfId="9" applyFont="1" applyFill="1" applyBorder="1" applyAlignment="1" applyProtection="1">
      <alignment horizontal="center" vertical="center" wrapText="1"/>
      <protection locked="0"/>
    </xf>
    <xf numFmtId="0" fontId="54" fillId="3" borderId="198" xfId="9" applyFont="1" applyFill="1" applyBorder="1" applyAlignment="1" applyProtection="1">
      <alignment horizontal="center" vertical="center" wrapText="1"/>
      <protection locked="0"/>
    </xf>
    <xf numFmtId="198" fontId="105" fillId="0" borderId="212" xfId="3" applyNumberFormat="1" applyFont="1" applyBorder="1" applyAlignment="1" applyProtection="1">
      <alignment horizontal="center" vertical="center" wrapText="1"/>
      <protection locked="0"/>
    </xf>
    <xf numFmtId="198" fontId="105" fillId="0" borderId="220" xfId="3" applyNumberFormat="1" applyFont="1" applyBorder="1" applyAlignment="1" applyProtection="1">
      <alignment horizontal="center" vertical="center" wrapText="1"/>
      <protection locked="0"/>
    </xf>
    <xf numFmtId="176" fontId="115" fillId="0" borderId="180" xfId="9" applyNumberFormat="1" applyFont="1" applyBorder="1" applyAlignment="1" applyProtection="1">
      <alignment horizontal="center" vertical="center" wrapText="1"/>
      <protection locked="0"/>
    </xf>
    <xf numFmtId="0" fontId="113" fillId="0" borderId="180" xfId="9" applyFont="1" applyBorder="1" applyAlignment="1" applyProtection="1">
      <alignment vertical="center" wrapText="1"/>
      <protection locked="0"/>
    </xf>
    <xf numFmtId="0" fontId="120" fillId="0" borderId="210" xfId="9" applyFont="1" applyBorder="1" applyAlignment="1" applyProtection="1">
      <alignment horizontal="center" vertical="center" wrapText="1"/>
      <protection locked="0"/>
    </xf>
    <xf numFmtId="198" fontId="114" fillId="7" borderId="215" xfId="3" applyNumberFormat="1" applyFont="1" applyFill="1" applyBorder="1" applyAlignment="1" applyProtection="1">
      <alignment horizontal="center" vertical="center" wrapText="1"/>
      <protection locked="0"/>
    </xf>
    <xf numFmtId="198" fontId="54" fillId="6" borderId="212" xfId="3" applyNumberFormat="1" applyFont="1" applyFill="1" applyBorder="1" applyAlignment="1" applyProtection="1">
      <alignment horizontal="center" vertical="center" wrapText="1"/>
      <protection locked="0"/>
    </xf>
    <xf numFmtId="198" fontId="54" fillId="6" borderId="220" xfId="3" applyNumberFormat="1" applyFont="1" applyFill="1" applyBorder="1" applyAlignment="1" applyProtection="1">
      <alignment horizontal="center" vertical="center" wrapText="1"/>
      <protection locked="0"/>
    </xf>
    <xf numFmtId="0" fontId="109" fillId="0" borderId="176" xfId="0" applyFont="1" applyBorder="1" applyAlignment="1" applyProtection="1">
      <alignment horizontal="center" vertical="center"/>
      <protection locked="0"/>
    </xf>
    <xf numFmtId="0" fontId="109" fillId="0" borderId="177" xfId="0" applyFont="1" applyBorder="1" applyAlignment="1" applyProtection="1">
      <alignment horizontal="center" vertical="center"/>
      <protection locked="0"/>
    </xf>
    <xf numFmtId="0" fontId="110" fillId="0" borderId="177" xfId="0" applyFont="1" applyBorder="1" applyAlignment="1" applyProtection="1">
      <alignment horizontal="center" vertical="center"/>
      <protection locked="0"/>
    </xf>
    <xf numFmtId="180" fontId="109" fillId="0" borderId="177" xfId="9" applyNumberFormat="1" applyFont="1" applyBorder="1" applyAlignment="1" applyProtection="1">
      <alignment horizontal="left" vertical="center"/>
      <protection locked="0"/>
    </xf>
    <xf numFmtId="0" fontId="111" fillId="3" borderId="179" xfId="0" applyFont="1" applyFill="1" applyBorder="1" applyAlignment="1" applyProtection="1">
      <alignment horizontal="center" vertical="center" wrapText="1"/>
      <protection locked="0"/>
    </xf>
    <xf numFmtId="0" fontId="111" fillId="3" borderId="185" xfId="0" applyFont="1" applyFill="1" applyBorder="1" applyAlignment="1" applyProtection="1">
      <alignment horizontal="center" vertical="center" wrapText="1"/>
      <protection locked="0"/>
    </xf>
    <xf numFmtId="0" fontId="111" fillId="3" borderId="197" xfId="0" applyFont="1" applyFill="1" applyBorder="1" applyAlignment="1" applyProtection="1">
      <alignment horizontal="center" vertical="center" wrapText="1"/>
      <protection locked="0"/>
    </xf>
    <xf numFmtId="0" fontId="111" fillId="3" borderId="180" xfId="0" applyFont="1" applyFill="1" applyBorder="1" applyAlignment="1" applyProtection="1">
      <alignment horizontal="center" vertical="center" wrapText="1"/>
      <protection locked="0"/>
    </xf>
    <xf numFmtId="0" fontId="111" fillId="3" borderId="186" xfId="0" applyFont="1" applyFill="1" applyBorder="1" applyAlignment="1" applyProtection="1">
      <alignment horizontal="center" vertical="center" wrapText="1"/>
      <protection locked="0"/>
    </xf>
    <xf numFmtId="0" fontId="111" fillId="3" borderId="198" xfId="0" applyFont="1" applyFill="1" applyBorder="1" applyAlignment="1" applyProtection="1">
      <alignment horizontal="center" vertical="center" wrapText="1"/>
      <protection locked="0"/>
    </xf>
    <xf numFmtId="0" fontId="111" fillId="3" borderId="181" xfId="0" applyFont="1" applyFill="1" applyBorder="1" applyAlignment="1" applyProtection="1">
      <alignment horizontal="center" vertical="center" wrapText="1"/>
      <protection locked="0"/>
    </xf>
    <xf numFmtId="0" fontId="111" fillId="3" borderId="182" xfId="0" applyFont="1" applyFill="1" applyBorder="1" applyAlignment="1" applyProtection="1">
      <alignment horizontal="center" vertical="center" wrapText="1"/>
      <protection locked="0"/>
    </xf>
    <xf numFmtId="0" fontId="111" fillId="3" borderId="183" xfId="0" applyFont="1" applyFill="1" applyBorder="1" applyAlignment="1" applyProtection="1">
      <alignment horizontal="center" vertical="center" wrapText="1"/>
      <protection locked="0"/>
    </xf>
    <xf numFmtId="0" fontId="111" fillId="3" borderId="181" xfId="9" applyFont="1" applyFill="1" applyBorder="1" applyAlignment="1" applyProtection="1">
      <alignment horizontal="center" vertical="center" wrapText="1"/>
      <protection locked="0"/>
    </xf>
    <xf numFmtId="0" fontId="111" fillId="3" borderId="182" xfId="9" applyFont="1" applyFill="1" applyBorder="1" applyAlignment="1" applyProtection="1">
      <alignment horizontal="center" vertical="center" wrapText="1"/>
      <protection locked="0"/>
    </xf>
    <xf numFmtId="0" fontId="111" fillId="3" borderId="183" xfId="9" applyFont="1" applyFill="1" applyBorder="1" applyAlignment="1" applyProtection="1">
      <alignment horizontal="center" vertical="center" wrapText="1"/>
      <protection locked="0"/>
    </xf>
    <xf numFmtId="0" fontId="108" fillId="0" borderId="124" xfId="0" applyFont="1" applyBorder="1" applyAlignment="1">
      <alignment horizontal="center" vertical="center"/>
    </xf>
    <xf numFmtId="185" fontId="42" fillId="0" borderId="124" xfId="0" applyNumberFormat="1" applyFont="1" applyBorder="1" applyAlignment="1">
      <alignment horizontal="center" vertical="center"/>
    </xf>
    <xf numFmtId="0" fontId="74" fillId="11" borderId="3" xfId="0" applyFont="1" applyFill="1" applyBorder="1" applyAlignment="1">
      <alignment horizontal="center" vertical="center"/>
    </xf>
    <xf numFmtId="0" fontId="74" fillId="11" borderId="172" xfId="0" applyFont="1" applyFill="1" applyBorder="1" applyAlignment="1">
      <alignment horizontal="left" vertical="center"/>
    </xf>
    <xf numFmtId="0" fontId="74" fillId="11" borderId="146" xfId="0" applyFont="1" applyFill="1" applyBorder="1" applyAlignment="1">
      <alignment horizontal="left" vertical="center"/>
    </xf>
    <xf numFmtId="0" fontId="74" fillId="11" borderId="55" xfId="0" applyFont="1" applyFill="1" applyBorder="1" applyAlignment="1">
      <alignment horizontal="left" vertical="center"/>
    </xf>
    <xf numFmtId="0" fontId="74" fillId="11" borderId="63" xfId="0" applyFont="1" applyFill="1" applyBorder="1" applyAlignment="1">
      <alignment horizontal="left" vertical="center"/>
    </xf>
    <xf numFmtId="0" fontId="74" fillId="11" borderId="153" xfId="0" applyFont="1" applyFill="1" applyBorder="1" applyAlignment="1">
      <alignment horizontal="left" vertical="center"/>
    </xf>
    <xf numFmtId="0" fontId="74" fillId="11" borderId="40" xfId="0" applyFont="1" applyFill="1" applyBorder="1" applyAlignment="1">
      <alignment horizontal="left" vertical="center"/>
    </xf>
    <xf numFmtId="0" fontId="74" fillId="11" borderId="2" xfId="0" applyFont="1" applyFill="1" applyBorder="1" applyAlignment="1">
      <alignment horizontal="center" vertical="center"/>
    </xf>
    <xf numFmtId="0" fontId="57" fillId="0" borderId="138" xfId="9" applyFont="1" applyBorder="1" applyAlignment="1">
      <alignment horizontal="center" vertical="center" wrapText="1"/>
    </xf>
    <xf numFmtId="0" fontId="57" fillId="0" borderId="174" xfId="9" applyFont="1" applyBorder="1" applyAlignment="1">
      <alignment horizontal="center" vertical="center" wrapText="1"/>
    </xf>
    <xf numFmtId="0" fontId="57" fillId="0" borderId="0" xfId="9" applyFont="1" applyAlignment="1">
      <alignment horizontal="center" vertical="center" wrapText="1"/>
    </xf>
    <xf numFmtId="0" fontId="57" fillId="0" borderId="175" xfId="9" applyFont="1" applyBorder="1" applyAlignment="1">
      <alignment horizontal="center" vertical="center" wrapText="1"/>
    </xf>
    <xf numFmtId="0" fontId="74" fillId="11" borderId="12" xfId="0" applyFont="1" applyFill="1" applyBorder="1" applyAlignment="1">
      <alignment horizontal="left" vertical="center"/>
    </xf>
    <xf numFmtId="0" fontId="48" fillId="8" borderId="139" xfId="0" applyFont="1" applyFill="1" applyBorder="1" applyAlignment="1">
      <alignment horizontal="center" vertical="center" wrapText="1"/>
    </xf>
    <xf numFmtId="0" fontId="48" fillId="8" borderId="140" xfId="0" applyFont="1" applyFill="1" applyBorder="1" applyAlignment="1">
      <alignment horizontal="center" vertical="center" wrapText="1"/>
    </xf>
    <xf numFmtId="0" fontId="47" fillId="8" borderId="134" xfId="0" applyFont="1" applyFill="1" applyBorder="1" applyAlignment="1">
      <alignment horizontal="center" vertical="center" wrapText="1"/>
    </xf>
    <xf numFmtId="0" fontId="47" fillId="8" borderId="129" xfId="0" applyFont="1" applyFill="1" applyBorder="1" applyAlignment="1">
      <alignment horizontal="center" vertical="center" wrapText="1"/>
    </xf>
    <xf numFmtId="0" fontId="99" fillId="0" borderId="130" xfId="39" applyFont="1" applyBorder="1" applyAlignment="1">
      <alignment horizontal="center" vertical="center" wrapText="1"/>
    </xf>
    <xf numFmtId="0" fontId="78" fillId="0" borderId="0" xfId="39" applyFont="1" applyBorder="1" applyAlignment="1">
      <alignment horizontal="justify" vertical="center" wrapText="1"/>
    </xf>
    <xf numFmtId="0" fontId="78" fillId="0" borderId="0" xfId="39" applyFont="1" applyBorder="1" applyAlignment="1">
      <alignment vertical="center" wrapText="1"/>
    </xf>
    <xf numFmtId="0" fontId="78" fillId="0" borderId="0" xfId="39" applyFont="1" applyBorder="1" applyAlignment="1">
      <alignment horizontal="left" vertical="center" wrapText="1"/>
    </xf>
    <xf numFmtId="0" fontId="79" fillId="16" borderId="131" xfId="39" applyFont="1" applyFill="1" applyBorder="1" applyAlignment="1">
      <alignment horizontal="center" vertical="center" wrapText="1"/>
    </xf>
    <xf numFmtId="0" fontId="79" fillId="16" borderId="149" xfId="39" applyFont="1" applyFill="1" applyBorder="1" applyAlignment="1">
      <alignment horizontal="center" vertical="center" wrapText="1"/>
    </xf>
    <xf numFmtId="0" fontId="79" fillId="16" borderId="151" xfId="39" applyFont="1" applyFill="1" applyBorder="1" applyAlignment="1">
      <alignment horizontal="center" vertical="center" wrapText="1"/>
    </xf>
    <xf numFmtId="0" fontId="79" fillId="16" borderId="154" xfId="39" applyFont="1" applyFill="1" applyBorder="1" applyAlignment="1">
      <alignment horizontal="center" vertical="center" wrapText="1"/>
    </xf>
    <xf numFmtId="0" fontId="79" fillId="16" borderId="160" xfId="39" applyFont="1" applyFill="1" applyBorder="1" applyAlignment="1">
      <alignment horizontal="center" vertical="center" wrapText="1"/>
    </xf>
    <xf numFmtId="0" fontId="76" fillId="16" borderId="0" xfId="39" applyFont="1" applyFill="1" applyAlignment="1">
      <alignment horizontal="center" vertical="center" wrapText="1"/>
    </xf>
    <xf numFmtId="0" fontId="82" fillId="16" borderId="143" xfId="39" applyFont="1" applyFill="1" applyBorder="1" applyAlignment="1">
      <alignment horizontal="center" vertical="center" wrapText="1"/>
    </xf>
    <xf numFmtId="0" fontId="82" fillId="16" borderId="125" xfId="39" applyFont="1" applyFill="1" applyBorder="1" applyAlignment="1">
      <alignment horizontal="center" vertical="center" wrapText="1"/>
    </xf>
    <xf numFmtId="0" fontId="82" fillId="16" borderId="123" xfId="39" applyFont="1" applyFill="1" applyBorder="1" applyAlignment="1">
      <alignment horizontal="center" vertical="center" wrapText="1"/>
    </xf>
  </cellXfs>
  <cellStyles count="81">
    <cellStyle name="나쁨 2" xfId="29" xr:uid="{38510F06-B768-459B-A838-1649C8D8C5C3}"/>
    <cellStyle name="백분율 2" xfId="44" xr:uid="{30FABC53-4B64-42FF-A2E4-0DBEB729145E}"/>
    <cellStyle name="백분율 2 2" xfId="75" xr:uid="{50283B84-926B-4AED-B03A-784F7B444BEC}"/>
    <cellStyle name="쉼표 [0]" xfId="1" builtinId="6"/>
    <cellStyle name="쉼표 [0] 10" xfId="48" xr:uid="{0F8042BD-4D64-45CA-927E-0AE66FE39939}"/>
    <cellStyle name="쉼표 [0] 2" xfId="2" xr:uid="{00000000-0005-0000-0000-000001000000}"/>
    <cellStyle name="쉼표 [0] 2 2" xfId="3" xr:uid="{00000000-0005-0000-0000-000002000000}"/>
    <cellStyle name="쉼표 [0] 2 2 2" xfId="50" xr:uid="{82406583-59FC-4061-88B1-9F7D1598D6D7}"/>
    <cellStyle name="쉼표 [0] 2 2 3" xfId="24" xr:uid="{8650FE58-C727-49AD-B3DC-BF1FE53FCE15}"/>
    <cellStyle name="쉼표 [0] 2 2 3 2" xfId="59" xr:uid="{529414FF-7129-4470-99BC-4B551F10E378}"/>
    <cellStyle name="쉼표 [0] 2 2 4" xfId="25" xr:uid="{1F7B69F5-9244-4094-A332-FC7B31E213DF}"/>
    <cellStyle name="쉼표 [0] 2 2 4 2" xfId="60" xr:uid="{54B3E056-F57B-46A4-89E2-90D02719193E}"/>
    <cellStyle name="쉼표 [0] 2 3" xfId="49" xr:uid="{017974D4-BD32-41C9-847F-B7E8FA330828}"/>
    <cellStyle name="쉼표 [0] 3" xfId="4" xr:uid="{00000000-0005-0000-0000-000003000000}"/>
    <cellStyle name="쉼표 [0] 4" xfId="5" xr:uid="{00000000-0005-0000-0000-000004000000}"/>
    <cellStyle name="쉼표 [0] 4 2" xfId="51" xr:uid="{8ACC2EF8-08BD-4D3A-83BD-308DCAA2F106}"/>
    <cellStyle name="쉼표 [0] 5" xfId="17" xr:uid="{00000000-0005-0000-0000-000005000000}"/>
    <cellStyle name="쉼표 [0] 5 2" xfId="53" xr:uid="{505D8DB5-C779-4B9C-893F-BBC803BDACFF}"/>
    <cellStyle name="쉼표 [0] 6" xfId="20" xr:uid="{00000000-0005-0000-0000-000006000000}"/>
    <cellStyle name="쉼표 [0] 6 2" xfId="22" xr:uid="{00000000-0005-0000-0000-000007000000}"/>
    <cellStyle name="쉼표 [0] 6 2 2" xfId="58" xr:uid="{DCBF649A-9A9E-4342-9449-B20E9D95C60E}"/>
    <cellStyle name="쉼표 [0] 6 3" xfId="31" xr:uid="{F96A0133-C785-4430-9CFC-7783D369B4ED}"/>
    <cellStyle name="쉼표 [0] 6 3 2" xfId="37" xr:uid="{79D93905-79DD-4227-BE8D-7D9597FA0662}"/>
    <cellStyle name="쉼표 [0] 6 3 2 2" xfId="40" xr:uid="{1C3AB5E0-D4B0-46D0-8678-8306A070B04D}"/>
    <cellStyle name="쉼표 [0] 6 3 2 2 2" xfId="72" xr:uid="{A12515D5-420C-44F3-AF5B-CDE94FD4C716}"/>
    <cellStyle name="쉼표 [0] 6 3 2 2 3" xfId="80" xr:uid="{D03648C2-E312-4710-A308-0860E5D42F78}"/>
    <cellStyle name="쉼표 [0] 6 3 2 3" xfId="69" xr:uid="{CE2E74B5-8C15-4A6F-A18E-BAD0C04E7D58}"/>
    <cellStyle name="쉼표 [0] 6 3 3" xfId="46" xr:uid="{0D6B6F23-CA8C-4D00-9D69-053858988FF6}"/>
    <cellStyle name="쉼표 [0] 6 3 3 2" xfId="77" xr:uid="{24F33551-614C-44D9-ACE6-67B5745FED37}"/>
    <cellStyle name="쉼표 [0] 6 3 4" xfId="63" xr:uid="{9BBA38F3-0886-4B12-91F8-2594C6BC8F38}"/>
    <cellStyle name="쉼표 [0] 6 4" xfId="56" xr:uid="{1F20E971-0403-4E96-940E-40C9142E9BF9}"/>
    <cellStyle name="쉼표 [0] 7" xfId="34" xr:uid="{4D6360FD-3C43-4CCB-8812-5CE1A7CE932E}"/>
    <cellStyle name="쉼표 [0] 7 2" xfId="66" xr:uid="{ADF66F24-8366-4DB4-9532-6BF133D54DD5}"/>
    <cellStyle name="쉼표 [0] 8" xfId="43" xr:uid="{46C37132-047C-4DDA-BBC3-E5AF266A79C8}"/>
    <cellStyle name="쉼표 [0] 8 2" xfId="74" xr:uid="{32C3D8CB-BC14-4EB6-9E81-1EE1DA12F093}"/>
    <cellStyle name="쉼표 [0] 9" xfId="28" xr:uid="{8A32B6F1-8934-4C09-ACDB-19A51206BDDF}"/>
    <cellStyle name="쉼표 [0] 9 2" xfId="38" xr:uid="{40A7CB03-C539-4C3B-8A05-BE242AC2EC11}"/>
    <cellStyle name="쉼표 [0] 9 2 2" xfId="70" xr:uid="{27351369-FC6B-4428-A75B-3920CC97A09B}"/>
    <cellStyle name="쉼표 [0] 9 3" xfId="61" xr:uid="{9F6EC41C-2DFF-4617-A0E8-6232AF3BF56C}"/>
    <cellStyle name="콤마 [0]_2001중산층세경감" xfId="6" xr:uid="{00000000-0005-0000-0000-000008000000}"/>
    <cellStyle name="콤마_2001중산층세경감" xfId="7" xr:uid="{00000000-0005-0000-0000-000009000000}"/>
    <cellStyle name="통화 [0] 2" xfId="18" xr:uid="{00000000-0005-0000-0000-00000A000000}"/>
    <cellStyle name="통화 [0] 2 2" xfId="54" xr:uid="{1353FDB4-31DE-4A39-8C7B-DEDF740E1BCA}"/>
    <cellStyle name="표준" xfId="0" builtinId="0"/>
    <cellStyle name="표준 2" xfId="8" xr:uid="{00000000-0005-0000-0000-00000C000000}"/>
    <cellStyle name="표준 2 2" xfId="9" xr:uid="{00000000-0005-0000-0000-00000D000000}"/>
    <cellStyle name="표준 2 2 2" xfId="26" xr:uid="{BE37B3F8-8BAB-47B7-A080-D04D3EB4963B}"/>
    <cellStyle name="표준 2 2 3" xfId="23" xr:uid="{BF1D7B80-BBE7-4598-9A62-B64DB1B32A62}"/>
    <cellStyle name="표준 3" xfId="10" xr:uid="{00000000-0005-0000-0000-00000E000000}"/>
    <cellStyle name="표준 3 2" xfId="11" xr:uid="{00000000-0005-0000-0000-00000F000000}"/>
    <cellStyle name="표준 4" xfId="12" xr:uid="{00000000-0005-0000-0000-000010000000}"/>
    <cellStyle name="표준 4 2" xfId="27" xr:uid="{55539782-118D-4148-A951-5385F053F096}"/>
    <cellStyle name="표준 5" xfId="14" xr:uid="{00000000-0005-0000-0000-000011000000}"/>
    <cellStyle name="표준 5 2" xfId="35" xr:uid="{BA11D6A4-8F68-41B0-97AD-A56FDFB85E26}"/>
    <cellStyle name="표준 5 2 2" xfId="67" xr:uid="{D3435C6D-6D65-4CA5-8591-5C295AD455B6}"/>
    <cellStyle name="표준 5 3" xfId="42" xr:uid="{F233D5C7-F7B0-4880-A647-354F40522CF6}"/>
    <cellStyle name="표준 5 4" xfId="52" xr:uid="{5DAFF040-DE9F-40D7-941B-61D0C71EBB64}"/>
    <cellStyle name="표준 6" xfId="16" xr:uid="{00000000-0005-0000-0000-000012000000}"/>
    <cellStyle name="표준 7" xfId="19" xr:uid="{00000000-0005-0000-0000-000013000000}"/>
    <cellStyle name="표준 7 2" xfId="21" xr:uid="{00000000-0005-0000-0000-000014000000}"/>
    <cellStyle name="표준 7 2 2" xfId="32" xr:uid="{6EEAF08B-496A-416D-9DA7-7B77DF4C8FB4}"/>
    <cellStyle name="표준 7 2 2 2" xfId="47" xr:uid="{769BCA93-086B-4059-A20D-76D5C9DDE0FE}"/>
    <cellStyle name="표준 7 2 2 2 2" xfId="78" xr:uid="{8E661B01-4AD7-400E-9074-E56EC2C4FC4A}"/>
    <cellStyle name="표준 7 2 2 3" xfId="64" xr:uid="{F220FACC-9375-4B8F-A3C6-D998E422570A}"/>
    <cellStyle name="표준 7 2 3" xfId="57" xr:uid="{CAC7C3B6-DE2F-475A-A286-3A10B1FD5633}"/>
    <cellStyle name="표준 7 3" xfId="30" xr:uid="{4F1F746C-763E-4CE7-A23A-DC3E4D60A63E}"/>
    <cellStyle name="표준 7 3 2" xfId="36" xr:uid="{BDF109D8-DC63-4AF2-AF89-03E56EE20866}"/>
    <cellStyle name="표준 7 3 2 2" xfId="39" xr:uid="{AD765ABD-F96C-4B05-BBD9-B5974633C7D4}"/>
    <cellStyle name="표준 7 3 2 2 2" xfId="71" xr:uid="{1FF01184-9751-4F57-9033-F6500A0A657F}"/>
    <cellStyle name="표준 7 3 2 2 3" xfId="79" xr:uid="{9F42D393-BA60-49E4-995D-CA4CCD93091D}"/>
    <cellStyle name="표준 7 3 2 3" xfId="68" xr:uid="{06DE0293-192F-40C5-ACE8-684D08623705}"/>
    <cellStyle name="표준 7 3 3" xfId="45" xr:uid="{0A203631-16FE-4DCB-BDE4-5E85AAC5231C}"/>
    <cellStyle name="표준 7 3 3 2" xfId="76" xr:uid="{51553A87-C653-4573-A371-E7532B02AD48}"/>
    <cellStyle name="표준 7 3 4" xfId="62" xr:uid="{C1084817-BF23-4E05-AFB7-E43123E03C6A}"/>
    <cellStyle name="표준 7 4" xfId="55" xr:uid="{4435CAA0-E6EE-4943-A77D-315DA2AFA9AC}"/>
    <cellStyle name="표준 8" xfId="33" xr:uid="{5C5EB995-0BDB-4859-97A9-54BE4D1A3BEE}"/>
    <cellStyle name="표준 8 2" xfId="65" xr:uid="{FB75B6F6-3879-44A0-92CE-9741A310004B}"/>
    <cellStyle name="표준 9" xfId="41" xr:uid="{9E4C836E-CF29-4D37-91FF-39E2CE8A17E5}"/>
    <cellStyle name="표준 9 2" xfId="73" xr:uid="{681CEBCF-2ADA-4A16-895B-F1E2794552B4}"/>
    <cellStyle name="표준_튼튼명세서 11년 6월분" xfId="13" xr:uid="{00000000-0005-0000-0000-000016000000}"/>
    <cellStyle name="하이퍼링크 2" xfId="15" xr:uid="{00000000-0005-0000-0000-000018000000}"/>
  </cellStyles>
  <dxfs count="10"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00FF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00FF"/>
      </font>
      <fill>
        <patternFill>
          <bgColor rgb="FFCCECFF"/>
        </patternFill>
      </fill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</dxfs>
  <tableStyles count="0" defaultTableStyle="TableStyleMedium9" defaultPivotStyle="PivotStyleLight16"/>
  <colors>
    <mruColors>
      <color rgb="FF0000FF"/>
      <color rgb="FFFFFFCC"/>
      <color rgb="FFE7EED6"/>
      <color rgb="FFFAFEE6"/>
      <color rgb="FFC5D9F1"/>
      <color rgb="FFCCECFF"/>
      <color rgb="FF0066FF"/>
      <color rgb="FFFF99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24</xdr:row>
      <xdr:rowOff>152400</xdr:rowOff>
    </xdr:from>
    <xdr:to>
      <xdr:col>8</xdr:col>
      <xdr:colOff>262651</xdr:colOff>
      <xdr:row>30</xdr:row>
      <xdr:rowOff>69548</xdr:rowOff>
    </xdr:to>
    <xdr:pic>
      <xdr:nvPicPr>
        <xdr:cNvPr id="3" name="그림 2" descr="직인 이미지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67300" y="7724775"/>
          <a:ext cx="1358026" cy="1231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29</xdr:row>
      <xdr:rowOff>85725</xdr:rowOff>
    </xdr:from>
    <xdr:to>
      <xdr:col>6</xdr:col>
      <xdr:colOff>590550</xdr:colOff>
      <xdr:row>29</xdr:row>
      <xdr:rowOff>809625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6425" y="7991475"/>
          <a:ext cx="3162300" cy="72390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ec1\AppData\Local\Temp\Temp1_&#44221;&#45909;&#52384;&#44053;%20&#52636;&#53748;&#44540;&#52852;&#46300;&#44592;&#47197;%20.zip\Users\Office\AppData\Local\Microsoft\Windows\Temporary%20Internet%20Files\Content.IE5\32W89T5S\&#547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864;&#50857;\d\&#48149;&#50864;&#50857;\&#48149;&#50864;&#50857;&#51068;&#49569;&#50629;&#47924;&#51088;&#47308;\12.%20&#51076;&#44552;&#45824;&#51109;%20&#54532;&#47196;&#51229;&#53944;\2012&#45380;%202&#50900;(&#49688;&#51221;&#48376;)\1.%20&#50900;&#44553;&#51228;(2012&#45380;%202&#5090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421DE12A\Share\&#48149;&#50864;&#50857;\&#48149;&#50864;&#50857;&#51068;&#49569;&#50629;&#47924;&#51088;&#47308;\12.%20&#51076;&#44552;&#45824;&#51109;%20&#54532;&#47196;&#51229;&#53944;\2012&#45380;%202&#50900;(&#49688;&#51221;&#48376;)\1.%20&#50900;&#44553;&#51228;(2012&#45380;%202&#50900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&#47196;&#52972;%20&#46356;&#49828;&#53356;%20(d)\My%20Documents\2001&#51473;&#49328;&#52789;&#49464;&#44221;&#4404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&#47196;&#52972;%20&#46356;&#49828;&#53356;%20(d)\Documents%20and%20Settings\user\Local%20Settings\Temporary%20Internet%20Files\Content.IE5\HWK7H9S1\&#44553;&#50668;&#45824;&#51109;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임금대장"/>
      <sheetName val="근로시간"/>
      <sheetName val="급여자료"/>
      <sheetName val="급여명세서"/>
      <sheetName val="근로자명부"/>
      <sheetName val="연차관리대장"/>
    </sheetNames>
    <sheetDataSet>
      <sheetData sheetId="0">
        <row r="1">
          <cell r="G1" t="str">
            <v>2012년 3월</v>
          </cell>
        </row>
      </sheetData>
      <sheetData sheetId="1"/>
      <sheetData sheetId="2">
        <row r="4">
          <cell r="A4">
            <v>1</v>
          </cell>
          <cell r="B4" t="str">
            <v>최기형</v>
          </cell>
          <cell r="C4" t="str">
            <v>대표</v>
          </cell>
          <cell r="D4">
            <v>5000000</v>
          </cell>
          <cell r="E4">
            <v>700000</v>
          </cell>
          <cell r="F4">
            <v>800000</v>
          </cell>
          <cell r="G4">
            <v>0</v>
          </cell>
          <cell r="H4">
            <v>0</v>
          </cell>
          <cell r="I4">
            <v>0</v>
          </cell>
          <cell r="J4">
            <v>300000</v>
          </cell>
          <cell r="K4">
            <v>200000</v>
          </cell>
          <cell r="L4">
            <v>100000</v>
          </cell>
          <cell r="M4">
            <v>0</v>
          </cell>
          <cell r="N4">
            <v>0</v>
          </cell>
          <cell r="O4">
            <v>0</v>
          </cell>
          <cell r="P4">
            <v>7100000</v>
          </cell>
          <cell r="Q4">
            <v>165600</v>
          </cell>
          <cell r="R4">
            <v>139175</v>
          </cell>
          <cell r="S4">
            <v>39450</v>
          </cell>
          <cell r="T4">
            <v>500000</v>
          </cell>
          <cell r="U4">
            <v>50000</v>
          </cell>
          <cell r="V4">
            <v>0</v>
          </cell>
          <cell r="W4">
            <v>894225</v>
          </cell>
          <cell r="X4">
            <v>6205775</v>
          </cell>
        </row>
        <row r="5">
          <cell r="A5">
            <v>2</v>
          </cell>
          <cell r="B5" t="str">
            <v>김태형</v>
          </cell>
          <cell r="C5" t="str">
            <v>임원</v>
          </cell>
          <cell r="D5">
            <v>1469600</v>
          </cell>
          <cell r="E5">
            <v>500000</v>
          </cell>
          <cell r="F5">
            <v>700000</v>
          </cell>
          <cell r="G5">
            <v>330457</v>
          </cell>
          <cell r="H5">
            <v>306556.93779904308</v>
          </cell>
          <cell r="I5">
            <v>0</v>
          </cell>
          <cell r="J5">
            <v>500000</v>
          </cell>
          <cell r="K5">
            <v>200000</v>
          </cell>
          <cell r="L5">
            <v>100000</v>
          </cell>
          <cell r="M5">
            <v>200000</v>
          </cell>
          <cell r="N5">
            <v>100000</v>
          </cell>
          <cell r="O5">
            <v>0</v>
          </cell>
          <cell r="P5">
            <v>4406613.937799043</v>
          </cell>
          <cell r="Q5">
            <v>165000</v>
          </cell>
          <cell r="R5">
            <v>90000</v>
          </cell>
          <cell r="S5">
            <v>20400</v>
          </cell>
          <cell r="T5">
            <v>90000</v>
          </cell>
          <cell r="U5">
            <v>9000</v>
          </cell>
          <cell r="V5">
            <v>0</v>
          </cell>
          <cell r="W5">
            <v>374400</v>
          </cell>
          <cell r="X5">
            <v>4032213.937799043</v>
          </cell>
        </row>
        <row r="6">
          <cell r="A6">
            <v>3</v>
          </cell>
          <cell r="B6" t="str">
            <v>김재일</v>
          </cell>
          <cell r="C6" t="str">
            <v>부장</v>
          </cell>
          <cell r="D6">
            <v>1306250</v>
          </cell>
          <cell r="E6">
            <v>400000</v>
          </cell>
          <cell r="F6">
            <v>400000</v>
          </cell>
          <cell r="G6">
            <v>293750</v>
          </cell>
          <cell r="H6">
            <v>241866.02870813396</v>
          </cell>
          <cell r="I6">
            <v>0</v>
          </cell>
          <cell r="J6">
            <v>1100000</v>
          </cell>
          <cell r="K6">
            <v>200000</v>
          </cell>
          <cell r="L6">
            <v>100000</v>
          </cell>
          <cell r="M6">
            <v>200000</v>
          </cell>
          <cell r="N6">
            <v>100000</v>
          </cell>
          <cell r="O6">
            <v>0</v>
          </cell>
          <cell r="P6">
            <v>4341866.0287081338</v>
          </cell>
          <cell r="Q6">
            <v>165000</v>
          </cell>
          <cell r="R6">
            <v>90000</v>
          </cell>
          <cell r="S6">
            <v>20325</v>
          </cell>
          <cell r="T6">
            <v>90000</v>
          </cell>
          <cell r="U6">
            <v>9000</v>
          </cell>
          <cell r="V6">
            <v>0</v>
          </cell>
          <cell r="W6">
            <v>374325</v>
          </cell>
          <cell r="X6">
            <v>3967541.0287081338</v>
          </cell>
        </row>
        <row r="7">
          <cell r="A7">
            <v>4</v>
          </cell>
          <cell r="B7" t="str">
            <v>최기섭</v>
          </cell>
          <cell r="C7" t="str">
            <v>부장</v>
          </cell>
          <cell r="D7">
            <v>1306250</v>
          </cell>
          <cell r="E7">
            <v>400000</v>
          </cell>
          <cell r="F7">
            <v>400000</v>
          </cell>
          <cell r="G7">
            <v>293750</v>
          </cell>
          <cell r="H7">
            <v>241866.02870813396</v>
          </cell>
          <cell r="I7">
            <v>0</v>
          </cell>
          <cell r="J7">
            <v>300000</v>
          </cell>
          <cell r="K7">
            <v>200000</v>
          </cell>
          <cell r="L7">
            <v>100000</v>
          </cell>
          <cell r="M7">
            <v>0</v>
          </cell>
          <cell r="N7">
            <v>100000</v>
          </cell>
          <cell r="O7">
            <v>0</v>
          </cell>
          <cell r="P7">
            <v>3341866.0287081338</v>
          </cell>
          <cell r="Q7">
            <v>165000</v>
          </cell>
          <cell r="R7">
            <v>45910</v>
          </cell>
          <cell r="S7">
            <v>15450</v>
          </cell>
          <cell r="T7">
            <v>30000</v>
          </cell>
          <cell r="U7">
            <v>3000</v>
          </cell>
          <cell r="V7">
            <v>0</v>
          </cell>
          <cell r="W7">
            <v>259360</v>
          </cell>
          <cell r="X7">
            <v>3082506.0287081338</v>
          </cell>
        </row>
        <row r="8">
          <cell r="A8">
            <v>5</v>
          </cell>
          <cell r="B8" t="str">
            <v>김동일</v>
          </cell>
          <cell r="C8" t="str">
            <v>차장</v>
          </cell>
          <cell r="D8">
            <v>1224531</v>
          </cell>
          <cell r="E8">
            <v>400000</v>
          </cell>
          <cell r="F8">
            <v>300000</v>
          </cell>
          <cell r="G8">
            <v>275373</v>
          </cell>
          <cell r="H8">
            <v>220998.77511961723</v>
          </cell>
          <cell r="I8">
            <v>0</v>
          </cell>
          <cell r="J8">
            <v>740000</v>
          </cell>
          <cell r="K8">
            <v>200000</v>
          </cell>
          <cell r="L8">
            <v>100000</v>
          </cell>
          <cell r="M8">
            <v>0</v>
          </cell>
          <cell r="N8">
            <v>60000</v>
          </cell>
          <cell r="O8">
            <v>0</v>
          </cell>
          <cell r="P8">
            <v>3520902.7751196171</v>
          </cell>
          <cell r="Q8">
            <v>165600</v>
          </cell>
          <cell r="R8">
            <v>47390</v>
          </cell>
          <cell r="S8">
            <v>16350</v>
          </cell>
          <cell r="T8">
            <v>34000</v>
          </cell>
          <cell r="U8">
            <v>3400</v>
          </cell>
          <cell r="V8">
            <v>0</v>
          </cell>
          <cell r="W8">
            <v>266740</v>
          </cell>
          <cell r="X8">
            <v>3254162.7751196171</v>
          </cell>
        </row>
        <row r="9">
          <cell r="A9">
            <v>6</v>
          </cell>
          <cell r="B9" t="str">
            <v>조한권</v>
          </cell>
          <cell r="C9" t="str">
            <v>차장</v>
          </cell>
          <cell r="D9">
            <v>1224531</v>
          </cell>
          <cell r="E9">
            <v>400000</v>
          </cell>
          <cell r="F9">
            <v>300000</v>
          </cell>
          <cell r="G9">
            <v>275373</v>
          </cell>
          <cell r="H9">
            <v>220998.77511961723</v>
          </cell>
          <cell r="I9">
            <v>0</v>
          </cell>
          <cell r="J9">
            <v>440000</v>
          </cell>
          <cell r="K9">
            <v>200000</v>
          </cell>
          <cell r="L9">
            <v>100000</v>
          </cell>
          <cell r="M9">
            <v>0</v>
          </cell>
          <cell r="N9">
            <v>60000</v>
          </cell>
          <cell r="O9">
            <v>0</v>
          </cell>
          <cell r="P9">
            <v>3220902.7751196171</v>
          </cell>
          <cell r="Q9">
            <v>122890</v>
          </cell>
          <cell r="R9">
            <v>48140</v>
          </cell>
          <cell r="S9">
            <v>14850</v>
          </cell>
          <cell r="T9">
            <v>33000</v>
          </cell>
          <cell r="U9">
            <v>3300</v>
          </cell>
          <cell r="V9">
            <v>0</v>
          </cell>
          <cell r="W9">
            <v>222180</v>
          </cell>
          <cell r="X9">
            <v>2998722.7751196171</v>
          </cell>
        </row>
        <row r="10">
          <cell r="A10">
            <v>7</v>
          </cell>
          <cell r="B10" t="str">
            <v>김종민</v>
          </cell>
          <cell r="C10" t="str">
            <v>차장</v>
          </cell>
          <cell r="D10">
            <v>1224531</v>
          </cell>
          <cell r="E10">
            <v>200000</v>
          </cell>
          <cell r="F10">
            <v>300000</v>
          </cell>
          <cell r="G10">
            <v>275373</v>
          </cell>
          <cell r="H10">
            <v>198032.26794258371</v>
          </cell>
          <cell r="I10">
            <v>0</v>
          </cell>
          <cell r="J10">
            <v>310000</v>
          </cell>
          <cell r="K10">
            <v>200000</v>
          </cell>
          <cell r="L10">
            <v>100000</v>
          </cell>
          <cell r="M10">
            <v>0</v>
          </cell>
          <cell r="N10">
            <v>60000</v>
          </cell>
          <cell r="O10">
            <v>0</v>
          </cell>
          <cell r="P10">
            <v>2867936.2679425837</v>
          </cell>
          <cell r="Q10">
            <v>90630</v>
          </cell>
          <cell r="R10">
            <v>36350</v>
          </cell>
          <cell r="S10">
            <v>12375</v>
          </cell>
          <cell r="T10">
            <v>20000</v>
          </cell>
          <cell r="U10">
            <v>2000</v>
          </cell>
          <cell r="V10">
            <v>0</v>
          </cell>
          <cell r="W10">
            <v>161355</v>
          </cell>
          <cell r="X10">
            <v>2706581.2679425837</v>
          </cell>
        </row>
        <row r="11">
          <cell r="A11">
            <v>8</v>
          </cell>
          <cell r="B11" t="str">
            <v>김재용</v>
          </cell>
          <cell r="C11" t="str">
            <v>차장</v>
          </cell>
          <cell r="D11">
            <v>1224531</v>
          </cell>
          <cell r="E11">
            <v>100000</v>
          </cell>
          <cell r="F11">
            <v>300000</v>
          </cell>
          <cell r="G11">
            <v>275373</v>
          </cell>
          <cell r="H11">
            <v>186549.01435406698</v>
          </cell>
          <cell r="I11">
            <v>0</v>
          </cell>
          <cell r="J11">
            <v>415000</v>
          </cell>
          <cell r="K11">
            <v>200000</v>
          </cell>
          <cell r="L11">
            <v>100000</v>
          </cell>
          <cell r="M11">
            <v>0</v>
          </cell>
          <cell r="N11">
            <v>60000</v>
          </cell>
          <cell r="O11">
            <v>0</v>
          </cell>
          <cell r="P11">
            <v>2861453.0143540669</v>
          </cell>
          <cell r="Q11">
            <v>62860</v>
          </cell>
          <cell r="R11">
            <v>48370</v>
          </cell>
          <cell r="S11">
            <v>8850</v>
          </cell>
          <cell r="T11">
            <v>12970</v>
          </cell>
          <cell r="U11">
            <v>1290</v>
          </cell>
          <cell r="V11">
            <v>0</v>
          </cell>
          <cell r="W11">
            <v>134340</v>
          </cell>
          <cell r="X11">
            <v>2727113.0143540669</v>
          </cell>
        </row>
        <row r="12">
          <cell r="A12">
            <v>9</v>
          </cell>
          <cell r="B12" t="str">
            <v>김정수</v>
          </cell>
          <cell r="C12" t="str">
            <v>차장</v>
          </cell>
          <cell r="D12">
            <v>1224531</v>
          </cell>
          <cell r="E12">
            <v>200000</v>
          </cell>
          <cell r="F12">
            <v>300000</v>
          </cell>
          <cell r="G12">
            <v>275373</v>
          </cell>
          <cell r="H12">
            <v>198032.26794258371</v>
          </cell>
          <cell r="I12">
            <v>0</v>
          </cell>
          <cell r="J12">
            <v>150000</v>
          </cell>
          <cell r="K12">
            <v>200000</v>
          </cell>
          <cell r="L12">
            <v>100000</v>
          </cell>
          <cell r="M12">
            <v>0</v>
          </cell>
          <cell r="N12">
            <v>60000</v>
          </cell>
          <cell r="O12">
            <v>0</v>
          </cell>
          <cell r="P12">
            <v>2707936.2679425837</v>
          </cell>
          <cell r="Q12">
            <v>91620</v>
          </cell>
          <cell r="R12">
            <v>34285</v>
          </cell>
          <cell r="S12">
            <v>12495</v>
          </cell>
          <cell r="T12">
            <v>16300</v>
          </cell>
          <cell r="U12">
            <v>1630</v>
          </cell>
          <cell r="V12">
            <v>0</v>
          </cell>
          <cell r="W12">
            <v>156330</v>
          </cell>
          <cell r="X12">
            <v>2551606.2679425837</v>
          </cell>
        </row>
        <row r="13">
          <cell r="A13">
            <v>10</v>
          </cell>
          <cell r="B13" t="str">
            <v>이재명</v>
          </cell>
          <cell r="C13" t="str">
            <v>차장</v>
          </cell>
          <cell r="D13">
            <v>1224531</v>
          </cell>
          <cell r="E13">
            <v>200000</v>
          </cell>
          <cell r="F13">
            <v>300000</v>
          </cell>
          <cell r="G13">
            <v>275373</v>
          </cell>
          <cell r="H13">
            <v>198032.26794258371</v>
          </cell>
          <cell r="I13">
            <v>0</v>
          </cell>
          <cell r="J13">
            <v>265000</v>
          </cell>
          <cell r="K13">
            <v>200000</v>
          </cell>
          <cell r="L13">
            <v>100000</v>
          </cell>
          <cell r="M13">
            <v>0</v>
          </cell>
          <cell r="N13">
            <v>60000</v>
          </cell>
          <cell r="O13">
            <v>0</v>
          </cell>
          <cell r="P13">
            <v>2822936.2679425837</v>
          </cell>
          <cell r="Q13">
            <v>97110</v>
          </cell>
          <cell r="R13">
            <v>34790</v>
          </cell>
          <cell r="S13">
            <v>13013</v>
          </cell>
          <cell r="T13">
            <v>16000</v>
          </cell>
          <cell r="U13">
            <v>1600</v>
          </cell>
          <cell r="V13">
            <v>0</v>
          </cell>
          <cell r="W13">
            <v>162513</v>
          </cell>
          <cell r="X13">
            <v>2660423.2679425837</v>
          </cell>
        </row>
        <row r="14">
          <cell r="A14">
            <v>11</v>
          </cell>
          <cell r="B14" t="str">
            <v>정혜란</v>
          </cell>
          <cell r="C14" t="str">
            <v>과장</v>
          </cell>
          <cell r="D14">
            <v>1142812</v>
          </cell>
          <cell r="E14">
            <v>100000</v>
          </cell>
          <cell r="F14">
            <v>200000</v>
          </cell>
          <cell r="G14">
            <v>256996</v>
          </cell>
          <cell r="H14">
            <v>165681.76076555025</v>
          </cell>
          <cell r="I14">
            <v>0</v>
          </cell>
          <cell r="J14">
            <v>155000</v>
          </cell>
          <cell r="K14">
            <v>200000</v>
          </cell>
          <cell r="L14">
            <v>100000</v>
          </cell>
          <cell r="M14">
            <v>200000</v>
          </cell>
          <cell r="N14">
            <v>0</v>
          </cell>
          <cell r="O14">
            <v>0</v>
          </cell>
          <cell r="P14">
            <v>2520489.7607655502</v>
          </cell>
          <cell r="Q14">
            <v>67500</v>
          </cell>
          <cell r="R14">
            <v>18000</v>
          </cell>
          <cell r="S14">
            <v>11723</v>
          </cell>
          <cell r="T14">
            <v>10000</v>
          </cell>
          <cell r="U14">
            <v>1000</v>
          </cell>
          <cell r="V14">
            <v>0</v>
          </cell>
          <cell r="W14">
            <v>108223</v>
          </cell>
          <cell r="X14">
            <v>2412266.7607655502</v>
          </cell>
        </row>
        <row r="15">
          <cell r="A15">
            <v>12</v>
          </cell>
          <cell r="B15" t="str">
            <v>이길원</v>
          </cell>
          <cell r="C15" t="str">
            <v>대리</v>
          </cell>
          <cell r="D15">
            <v>1061302</v>
          </cell>
          <cell r="E15">
            <v>0</v>
          </cell>
          <cell r="F15">
            <v>100000</v>
          </cell>
          <cell r="G15">
            <v>238666</v>
          </cell>
          <cell r="H15">
            <v>133355.25358851673</v>
          </cell>
          <cell r="I15">
            <v>0</v>
          </cell>
          <cell r="J15">
            <v>80000</v>
          </cell>
          <cell r="K15">
            <v>200000</v>
          </cell>
          <cell r="L15">
            <v>100000</v>
          </cell>
          <cell r="M15">
            <v>200000</v>
          </cell>
          <cell r="N15">
            <v>0</v>
          </cell>
          <cell r="O15">
            <v>0</v>
          </cell>
          <cell r="P15">
            <v>2113323.2535885167</v>
          </cell>
          <cell r="Q15">
            <v>97110</v>
          </cell>
          <cell r="R15">
            <v>34790</v>
          </cell>
          <cell r="S15">
            <v>9750</v>
          </cell>
          <cell r="T15">
            <v>16000</v>
          </cell>
          <cell r="U15">
            <v>1600</v>
          </cell>
          <cell r="V15">
            <v>0</v>
          </cell>
          <cell r="W15">
            <v>159250</v>
          </cell>
          <cell r="X15">
            <v>1954073.2535885167</v>
          </cell>
        </row>
        <row r="16">
          <cell r="A16">
            <v>13</v>
          </cell>
          <cell r="B16" t="str">
            <v>설재욱</v>
          </cell>
          <cell r="C16" t="str">
            <v>기사</v>
          </cell>
          <cell r="D16">
            <v>979583</v>
          </cell>
          <cell r="E16">
            <v>0</v>
          </cell>
          <cell r="F16">
            <v>50000</v>
          </cell>
          <cell r="G16">
            <v>220289</v>
          </cell>
          <cell r="H16">
            <v>118229.62679425837</v>
          </cell>
          <cell r="I16">
            <v>0</v>
          </cell>
          <cell r="J16">
            <v>30000</v>
          </cell>
          <cell r="K16">
            <v>200000</v>
          </cell>
          <cell r="L16">
            <v>100000</v>
          </cell>
          <cell r="M16">
            <v>200000</v>
          </cell>
          <cell r="N16">
            <v>0</v>
          </cell>
          <cell r="O16">
            <v>0</v>
          </cell>
          <cell r="P16">
            <v>1898101.6267942584</v>
          </cell>
          <cell r="Q16">
            <v>168750</v>
          </cell>
          <cell r="R16">
            <v>90730</v>
          </cell>
          <cell r="S16">
            <v>16610</v>
          </cell>
          <cell r="T16">
            <v>109940</v>
          </cell>
          <cell r="U16">
            <v>10990</v>
          </cell>
          <cell r="V16">
            <v>0</v>
          </cell>
          <cell r="W16">
            <v>397020</v>
          </cell>
          <cell r="X16">
            <v>1501081.6267942584</v>
          </cell>
        </row>
        <row r="17">
          <cell r="A17">
            <v>14</v>
          </cell>
          <cell r="B17" t="str">
            <v>윤경애</v>
          </cell>
          <cell r="C17" t="str">
            <v>대리</v>
          </cell>
          <cell r="D17">
            <v>1130000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200000</v>
          </cell>
          <cell r="L17">
            <v>100000</v>
          </cell>
          <cell r="M17">
            <v>0</v>
          </cell>
          <cell r="N17">
            <v>0</v>
          </cell>
          <cell r="O17">
            <v>0</v>
          </cell>
          <cell r="P17">
            <v>1430000</v>
          </cell>
          <cell r="Q17">
            <v>35000</v>
          </cell>
          <cell r="R17">
            <v>15000</v>
          </cell>
          <cell r="S17">
            <v>7815</v>
          </cell>
          <cell r="T17">
            <v>10000</v>
          </cell>
          <cell r="U17">
            <v>1000</v>
          </cell>
          <cell r="V17">
            <v>0</v>
          </cell>
          <cell r="W17">
            <v>68815</v>
          </cell>
          <cell r="X17">
            <v>1361185</v>
          </cell>
        </row>
        <row r="18">
          <cell r="A18">
            <v>15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A19">
            <v>16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>
            <v>17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A21">
            <v>18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  <row r="22">
          <cell r="A22">
            <v>19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20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A24">
            <v>21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A25">
            <v>22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>
            <v>23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>
            <v>24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>
            <v>25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직원명부"/>
      <sheetName val="월급제출근대장"/>
      <sheetName val="임금대장(2월)"/>
      <sheetName val="급여명세서 출력하기"/>
      <sheetName val="명세서자료"/>
      <sheetName val="Sheet2"/>
      <sheetName val="표지"/>
      <sheetName val="출근대장"/>
      <sheetName val="시급분석"/>
      <sheetName val="급여대장"/>
      <sheetName val="급여대장-세무신고용"/>
      <sheetName val="급여명세서"/>
      <sheetName val="급여명세서(세무신고용)"/>
      <sheetName val="근로계약서(월급제)"/>
      <sheetName val="간이세액표"/>
      <sheetName val="연차대장"/>
      <sheetName val="연차정산 참고"/>
      <sheetName val="연차대장(입사일)"/>
      <sheetName val="현금수령증"/>
      <sheetName val="현금수령증 수정"/>
      <sheetName val="급여수령증"/>
    </sheetNames>
    <sheetDataSet>
      <sheetData sheetId="0"/>
      <sheetData sheetId="1"/>
      <sheetData sheetId="2"/>
      <sheetData sheetId="3"/>
      <sheetData sheetId="4">
        <row r="5">
          <cell r="C5" t="str">
            <v>정  권</v>
          </cell>
          <cell r="D5" t="str">
            <v>관리부</v>
          </cell>
          <cell r="E5" t="str">
            <v>대표</v>
          </cell>
          <cell r="F5">
            <v>2500000</v>
          </cell>
          <cell r="G5">
            <v>502870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100000</v>
          </cell>
          <cell r="N5">
            <v>100000</v>
          </cell>
          <cell r="O5">
            <v>0</v>
          </cell>
          <cell r="P5">
            <v>3202870</v>
          </cell>
          <cell r="Q5">
            <v>65310</v>
          </cell>
          <cell r="R5">
            <v>6530</v>
          </cell>
          <cell r="S5">
            <v>0</v>
          </cell>
          <cell r="T5">
            <v>87080</v>
          </cell>
          <cell r="U5">
            <v>12500</v>
          </cell>
          <cell r="V5">
            <v>0</v>
          </cell>
          <cell r="W5">
            <v>5700</v>
          </cell>
          <cell r="X5">
            <v>16510</v>
          </cell>
          <cell r="Y5">
            <v>0</v>
          </cell>
        </row>
        <row r="6">
          <cell r="C6" t="str">
            <v>바  보</v>
          </cell>
          <cell r="D6" t="str">
            <v>관리부</v>
          </cell>
          <cell r="E6" t="str">
            <v>관리부</v>
          </cell>
          <cell r="F6">
            <v>1500000</v>
          </cell>
          <cell r="G6">
            <v>301720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100000</v>
          </cell>
          <cell r="N6">
            <v>0</v>
          </cell>
          <cell r="O6">
            <v>0</v>
          </cell>
          <cell r="P6">
            <v>1901720</v>
          </cell>
          <cell r="Q6">
            <v>7890</v>
          </cell>
          <cell r="R6">
            <v>780</v>
          </cell>
          <cell r="S6">
            <v>0</v>
          </cell>
          <cell r="T6">
            <v>52240</v>
          </cell>
          <cell r="U6">
            <v>11000</v>
          </cell>
          <cell r="V6">
            <v>0</v>
          </cell>
          <cell r="W6">
            <v>3420</v>
          </cell>
          <cell r="X6">
            <v>9900</v>
          </cell>
          <cell r="Y6">
            <v>0</v>
          </cell>
        </row>
        <row r="7">
          <cell r="C7" t="str">
            <v>장성일</v>
          </cell>
          <cell r="D7" t="str">
            <v>관리부</v>
          </cell>
          <cell r="E7" t="str">
            <v>이사</v>
          </cell>
          <cell r="F7">
            <v>977360</v>
          </cell>
          <cell r="G7">
            <v>196600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100000</v>
          </cell>
          <cell r="O7">
            <v>0</v>
          </cell>
          <cell r="P7">
            <v>1273960</v>
          </cell>
          <cell r="Q7">
            <v>2380</v>
          </cell>
          <cell r="R7">
            <v>230</v>
          </cell>
          <cell r="S7">
            <v>0</v>
          </cell>
          <cell r="T7">
            <v>34040</v>
          </cell>
          <cell r="U7">
            <v>10000</v>
          </cell>
          <cell r="V7">
            <v>0</v>
          </cell>
          <cell r="W7">
            <v>2220</v>
          </cell>
          <cell r="X7">
            <v>6450</v>
          </cell>
          <cell r="Y7">
            <v>0</v>
          </cell>
        </row>
        <row r="8">
          <cell r="C8" t="str">
            <v>정세호</v>
          </cell>
          <cell r="D8" t="str">
            <v>관리부</v>
          </cell>
          <cell r="E8" t="str">
            <v>이사</v>
          </cell>
          <cell r="F8">
            <v>838080</v>
          </cell>
          <cell r="G8">
            <v>146900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984980</v>
          </cell>
          <cell r="Q8">
            <v>2180</v>
          </cell>
          <cell r="R8">
            <v>210</v>
          </cell>
          <cell r="S8">
            <v>0</v>
          </cell>
          <cell r="T8">
            <v>28560</v>
          </cell>
          <cell r="U8">
            <v>95000</v>
          </cell>
          <cell r="V8">
            <v>0</v>
          </cell>
          <cell r="W8">
            <v>1870</v>
          </cell>
          <cell r="X8">
            <v>5410</v>
          </cell>
          <cell r="Y8">
            <v>0</v>
          </cell>
        </row>
        <row r="9">
          <cell r="C9" t="str">
            <v>이영일</v>
          </cell>
          <cell r="D9" t="str">
            <v>관리부</v>
          </cell>
          <cell r="E9" t="str">
            <v>이사</v>
          </cell>
          <cell r="F9">
            <v>838080</v>
          </cell>
          <cell r="G9">
            <v>146900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984980</v>
          </cell>
          <cell r="Q9">
            <v>2180</v>
          </cell>
          <cell r="R9">
            <v>210</v>
          </cell>
          <cell r="S9">
            <v>0</v>
          </cell>
          <cell r="T9">
            <v>28560</v>
          </cell>
          <cell r="U9">
            <v>80000</v>
          </cell>
          <cell r="V9">
            <v>0</v>
          </cell>
          <cell r="W9">
            <v>1870</v>
          </cell>
          <cell r="X9">
            <v>5410</v>
          </cell>
          <cell r="Y9">
            <v>0</v>
          </cell>
        </row>
        <row r="10">
          <cell r="C10" t="str">
            <v>정  훈</v>
          </cell>
          <cell r="D10" t="str">
            <v>관리부</v>
          </cell>
          <cell r="E10" t="str">
            <v>전무</v>
          </cell>
          <cell r="F10">
            <v>1071220</v>
          </cell>
          <cell r="G10">
            <v>215470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100000</v>
          </cell>
          <cell r="N10">
            <v>200000</v>
          </cell>
          <cell r="O10">
            <v>0</v>
          </cell>
          <cell r="P10">
            <v>1586690</v>
          </cell>
          <cell r="Q10">
            <v>12340</v>
          </cell>
          <cell r="R10">
            <v>1230</v>
          </cell>
          <cell r="S10">
            <v>0</v>
          </cell>
          <cell r="T10">
            <v>37310</v>
          </cell>
          <cell r="U10">
            <v>80000</v>
          </cell>
          <cell r="V10">
            <v>0</v>
          </cell>
          <cell r="W10">
            <v>2440</v>
          </cell>
          <cell r="X10">
            <v>7070</v>
          </cell>
          <cell r="Y10">
            <v>0</v>
          </cell>
        </row>
        <row r="11">
          <cell r="C11" t="str">
            <v>김병숙</v>
          </cell>
          <cell r="D11" t="str">
            <v>관리부</v>
          </cell>
          <cell r="E11" t="str">
            <v>부장</v>
          </cell>
          <cell r="F11">
            <v>918130</v>
          </cell>
          <cell r="G11">
            <v>184680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1102810</v>
          </cell>
          <cell r="Q11">
            <v>3570</v>
          </cell>
          <cell r="R11">
            <v>350</v>
          </cell>
          <cell r="S11">
            <v>0</v>
          </cell>
          <cell r="T11">
            <v>31980</v>
          </cell>
          <cell r="U11">
            <v>80000</v>
          </cell>
          <cell r="V11">
            <v>0</v>
          </cell>
          <cell r="W11">
            <v>2090</v>
          </cell>
          <cell r="X11">
            <v>6060</v>
          </cell>
          <cell r="Y11">
            <v>0</v>
          </cell>
        </row>
        <row r="12">
          <cell r="C12" t="str">
            <v>박혜정</v>
          </cell>
          <cell r="D12" t="str">
            <v>관리부</v>
          </cell>
          <cell r="E12" t="str">
            <v>대리</v>
          </cell>
          <cell r="F12">
            <v>888510</v>
          </cell>
          <cell r="G12">
            <v>178720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1067230</v>
          </cell>
          <cell r="Q12">
            <v>3160</v>
          </cell>
          <cell r="R12">
            <v>310</v>
          </cell>
          <cell r="S12">
            <v>0</v>
          </cell>
          <cell r="T12">
            <v>30940</v>
          </cell>
          <cell r="U12">
            <v>70000</v>
          </cell>
          <cell r="V12">
            <v>0</v>
          </cell>
          <cell r="W12">
            <v>2020</v>
          </cell>
          <cell r="X12">
            <v>5860</v>
          </cell>
          <cell r="Y12">
            <v>0</v>
          </cell>
        </row>
        <row r="13">
          <cell r="C13" t="str">
            <v>김경찬</v>
          </cell>
          <cell r="D13" t="str">
            <v>관리부</v>
          </cell>
          <cell r="E13" t="str">
            <v>과장</v>
          </cell>
          <cell r="F13">
            <v>832540</v>
          </cell>
          <cell r="G13">
            <v>167460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1000000</v>
          </cell>
          <cell r="Q13">
            <v>0</v>
          </cell>
          <cell r="R13">
            <v>0</v>
          </cell>
          <cell r="S13">
            <v>0</v>
          </cell>
          <cell r="T13">
            <v>29000</v>
          </cell>
          <cell r="U13">
            <v>70000</v>
          </cell>
          <cell r="V13">
            <v>0</v>
          </cell>
          <cell r="W13">
            <v>1890</v>
          </cell>
          <cell r="X13">
            <v>5500</v>
          </cell>
          <cell r="Y13">
            <v>0</v>
          </cell>
        </row>
        <row r="14">
          <cell r="C14" t="str">
            <v>장해욱</v>
          </cell>
          <cell r="D14" t="str">
            <v>관리부</v>
          </cell>
          <cell r="E14" t="str">
            <v>상무</v>
          </cell>
          <cell r="F14">
            <v>832540</v>
          </cell>
          <cell r="G14">
            <v>167460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1000000</v>
          </cell>
          <cell r="Q14">
            <v>0</v>
          </cell>
          <cell r="R14">
            <v>0</v>
          </cell>
          <cell r="S14">
            <v>0</v>
          </cell>
          <cell r="T14">
            <v>29000</v>
          </cell>
          <cell r="U14">
            <v>70000</v>
          </cell>
          <cell r="V14">
            <v>0</v>
          </cell>
          <cell r="W14">
            <v>1890</v>
          </cell>
          <cell r="X14">
            <v>5500</v>
          </cell>
          <cell r="Y14">
            <v>0</v>
          </cell>
        </row>
        <row r="15">
          <cell r="C15" t="str">
            <v>박우용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직원명부"/>
      <sheetName val="월급제출근대장"/>
      <sheetName val="임금대장(2월)"/>
      <sheetName val="급여명세서 출력하기"/>
      <sheetName val="명세서자료"/>
      <sheetName val="Sheet2"/>
    </sheetNames>
    <sheetDataSet>
      <sheetData sheetId="0"/>
      <sheetData sheetId="1"/>
      <sheetData sheetId="2" refreshError="1"/>
      <sheetData sheetId="3" refreshError="1"/>
      <sheetData sheetId="4">
        <row r="5">
          <cell r="C5" t="str">
            <v>정  권</v>
          </cell>
          <cell r="D5" t="str">
            <v>관리부</v>
          </cell>
          <cell r="E5" t="str">
            <v>대표</v>
          </cell>
          <cell r="F5">
            <v>2500000</v>
          </cell>
          <cell r="G5">
            <v>502870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100000</v>
          </cell>
          <cell r="N5">
            <v>100000</v>
          </cell>
          <cell r="O5">
            <v>0</v>
          </cell>
          <cell r="P5">
            <v>3202870</v>
          </cell>
          <cell r="Q5">
            <v>65310</v>
          </cell>
          <cell r="R5">
            <v>6530</v>
          </cell>
          <cell r="S5">
            <v>0</v>
          </cell>
          <cell r="T5">
            <v>87080</v>
          </cell>
          <cell r="U5">
            <v>12500</v>
          </cell>
          <cell r="V5">
            <v>0</v>
          </cell>
          <cell r="W5">
            <v>5700</v>
          </cell>
          <cell r="X5">
            <v>16510</v>
          </cell>
          <cell r="Y5">
            <v>0</v>
          </cell>
        </row>
        <row r="6">
          <cell r="C6" t="str">
            <v>바  보</v>
          </cell>
          <cell r="D6" t="str">
            <v>관리부</v>
          </cell>
          <cell r="E6" t="str">
            <v>관리부</v>
          </cell>
          <cell r="F6">
            <v>1500000</v>
          </cell>
          <cell r="G6">
            <v>301720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100000</v>
          </cell>
          <cell r="N6">
            <v>0</v>
          </cell>
          <cell r="O6">
            <v>0</v>
          </cell>
          <cell r="P6">
            <v>1901720</v>
          </cell>
          <cell r="Q6">
            <v>7890</v>
          </cell>
          <cell r="R6">
            <v>780</v>
          </cell>
          <cell r="S6">
            <v>0</v>
          </cell>
          <cell r="T6">
            <v>52240</v>
          </cell>
          <cell r="U6">
            <v>11000</v>
          </cell>
          <cell r="V6">
            <v>0</v>
          </cell>
          <cell r="W6">
            <v>3420</v>
          </cell>
          <cell r="X6">
            <v>9900</v>
          </cell>
          <cell r="Y6">
            <v>0</v>
          </cell>
        </row>
        <row r="7">
          <cell r="C7" t="str">
            <v>장성일</v>
          </cell>
          <cell r="D7" t="str">
            <v>관리부</v>
          </cell>
          <cell r="E7" t="str">
            <v>이사</v>
          </cell>
          <cell r="F7">
            <v>977360</v>
          </cell>
          <cell r="G7">
            <v>196600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100000</v>
          </cell>
          <cell r="O7">
            <v>0</v>
          </cell>
          <cell r="P7">
            <v>1273960</v>
          </cell>
          <cell r="Q7">
            <v>2380</v>
          </cell>
          <cell r="R7">
            <v>230</v>
          </cell>
          <cell r="S7">
            <v>0</v>
          </cell>
          <cell r="T7">
            <v>34040</v>
          </cell>
          <cell r="U7">
            <v>10000</v>
          </cell>
          <cell r="V7">
            <v>0</v>
          </cell>
          <cell r="W7">
            <v>2220</v>
          </cell>
          <cell r="X7">
            <v>6450</v>
          </cell>
          <cell r="Y7">
            <v>0</v>
          </cell>
        </row>
        <row r="8">
          <cell r="C8" t="str">
            <v>정세호</v>
          </cell>
          <cell r="D8" t="str">
            <v>관리부</v>
          </cell>
          <cell r="E8" t="str">
            <v>이사</v>
          </cell>
          <cell r="F8">
            <v>838080</v>
          </cell>
          <cell r="G8">
            <v>146900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984980</v>
          </cell>
          <cell r="Q8">
            <v>2180</v>
          </cell>
          <cell r="R8">
            <v>210</v>
          </cell>
          <cell r="S8">
            <v>0</v>
          </cell>
          <cell r="T8">
            <v>28560</v>
          </cell>
          <cell r="U8">
            <v>95000</v>
          </cell>
          <cell r="V8">
            <v>0</v>
          </cell>
          <cell r="W8">
            <v>1870</v>
          </cell>
          <cell r="X8">
            <v>5410</v>
          </cell>
          <cell r="Y8">
            <v>0</v>
          </cell>
        </row>
        <row r="9">
          <cell r="C9" t="str">
            <v>이영일</v>
          </cell>
          <cell r="D9" t="str">
            <v>관리부</v>
          </cell>
          <cell r="E9" t="str">
            <v>이사</v>
          </cell>
          <cell r="F9">
            <v>838080</v>
          </cell>
          <cell r="G9">
            <v>146900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984980</v>
          </cell>
          <cell r="Q9">
            <v>2180</v>
          </cell>
          <cell r="R9">
            <v>210</v>
          </cell>
          <cell r="S9">
            <v>0</v>
          </cell>
          <cell r="T9">
            <v>28560</v>
          </cell>
          <cell r="U9">
            <v>80000</v>
          </cell>
          <cell r="V9">
            <v>0</v>
          </cell>
          <cell r="W9">
            <v>1870</v>
          </cell>
          <cell r="X9">
            <v>5410</v>
          </cell>
          <cell r="Y9">
            <v>0</v>
          </cell>
        </row>
        <row r="10">
          <cell r="C10" t="str">
            <v>정  훈</v>
          </cell>
          <cell r="D10" t="str">
            <v>관리부</v>
          </cell>
          <cell r="E10" t="str">
            <v>전무</v>
          </cell>
          <cell r="F10">
            <v>1071220</v>
          </cell>
          <cell r="G10">
            <v>215470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100000</v>
          </cell>
          <cell r="N10">
            <v>200000</v>
          </cell>
          <cell r="O10">
            <v>0</v>
          </cell>
          <cell r="P10">
            <v>1586690</v>
          </cell>
          <cell r="Q10">
            <v>12340</v>
          </cell>
          <cell r="R10">
            <v>1230</v>
          </cell>
          <cell r="S10">
            <v>0</v>
          </cell>
          <cell r="T10">
            <v>37310</v>
          </cell>
          <cell r="U10">
            <v>80000</v>
          </cell>
          <cell r="V10">
            <v>0</v>
          </cell>
          <cell r="W10">
            <v>2440</v>
          </cell>
          <cell r="X10">
            <v>7070</v>
          </cell>
          <cell r="Y10">
            <v>0</v>
          </cell>
        </row>
        <row r="11">
          <cell r="C11" t="str">
            <v>김병숙</v>
          </cell>
          <cell r="D11" t="str">
            <v>관리부</v>
          </cell>
          <cell r="E11" t="str">
            <v>부장</v>
          </cell>
          <cell r="F11">
            <v>918130</v>
          </cell>
          <cell r="G11">
            <v>184680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1102810</v>
          </cell>
          <cell r="Q11">
            <v>3570</v>
          </cell>
          <cell r="R11">
            <v>350</v>
          </cell>
          <cell r="S11">
            <v>0</v>
          </cell>
          <cell r="T11">
            <v>31980</v>
          </cell>
          <cell r="U11">
            <v>80000</v>
          </cell>
          <cell r="V11">
            <v>0</v>
          </cell>
          <cell r="W11">
            <v>2090</v>
          </cell>
          <cell r="X11">
            <v>6060</v>
          </cell>
          <cell r="Y11">
            <v>0</v>
          </cell>
        </row>
        <row r="12">
          <cell r="C12" t="str">
            <v>박혜정</v>
          </cell>
          <cell r="D12" t="str">
            <v>관리부</v>
          </cell>
          <cell r="E12" t="str">
            <v>대리</v>
          </cell>
          <cell r="F12">
            <v>888510</v>
          </cell>
          <cell r="G12">
            <v>178720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1067230</v>
          </cell>
          <cell r="Q12">
            <v>3160</v>
          </cell>
          <cell r="R12">
            <v>310</v>
          </cell>
          <cell r="S12">
            <v>0</v>
          </cell>
          <cell r="T12">
            <v>30940</v>
          </cell>
          <cell r="U12">
            <v>70000</v>
          </cell>
          <cell r="V12">
            <v>0</v>
          </cell>
          <cell r="W12">
            <v>2020</v>
          </cell>
          <cell r="X12">
            <v>5860</v>
          </cell>
          <cell r="Y12">
            <v>0</v>
          </cell>
        </row>
        <row r="13">
          <cell r="C13" t="str">
            <v>김경찬</v>
          </cell>
          <cell r="D13" t="str">
            <v>관리부</v>
          </cell>
          <cell r="E13" t="str">
            <v>과장</v>
          </cell>
          <cell r="F13">
            <v>832540</v>
          </cell>
          <cell r="G13">
            <v>167460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1000000</v>
          </cell>
          <cell r="Q13">
            <v>0</v>
          </cell>
          <cell r="R13">
            <v>0</v>
          </cell>
          <cell r="S13">
            <v>0</v>
          </cell>
          <cell r="T13">
            <v>29000</v>
          </cell>
          <cell r="U13">
            <v>70000</v>
          </cell>
          <cell r="V13">
            <v>0</v>
          </cell>
          <cell r="W13">
            <v>1890</v>
          </cell>
          <cell r="X13">
            <v>5500</v>
          </cell>
          <cell r="Y13">
            <v>0</v>
          </cell>
        </row>
        <row r="14">
          <cell r="C14" t="str">
            <v>장해욱</v>
          </cell>
          <cell r="D14" t="str">
            <v>관리부</v>
          </cell>
          <cell r="E14" t="str">
            <v>상무</v>
          </cell>
          <cell r="F14">
            <v>832540</v>
          </cell>
          <cell r="G14">
            <v>167460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1000000</v>
          </cell>
          <cell r="Q14">
            <v>0</v>
          </cell>
          <cell r="R14">
            <v>0</v>
          </cell>
          <cell r="S14">
            <v>0</v>
          </cell>
          <cell r="T14">
            <v>29000</v>
          </cell>
          <cell r="U14">
            <v>70000</v>
          </cell>
          <cell r="V14">
            <v>0</v>
          </cell>
          <cell r="W14">
            <v>1890</v>
          </cell>
          <cell r="X14">
            <v>5500</v>
          </cell>
          <cell r="Y14">
            <v>0</v>
          </cell>
        </row>
        <row r="15">
          <cell r="C15" t="str">
            <v>박우용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9근로급여별세표"/>
      <sheetName val="2000년"/>
      <sheetName val="2001년(현행)"/>
      <sheetName val="2001년(1안, 2안)"/>
      <sheetName val="2001년(3안)"/>
      <sheetName val="2001년(4안)"/>
      <sheetName val="계충별(1안)"/>
      <sheetName val="계충별(2안)"/>
      <sheetName val="계충별(3안)"/>
      <sheetName val="계충별(4안)"/>
      <sheetName val="계충별(사업)"/>
      <sheetName val="사업소득자세수추계"/>
      <sheetName val="경감율 차트"/>
      <sheetName val="세부담율 차트"/>
      <sheetName val="겸감율 종합"/>
      <sheetName val="계충별(논외1안)"/>
      <sheetName val="계충별(논외2안)"/>
      <sheetName val="계충별(논외3안)"/>
      <sheetName val="계충별(논외4안)"/>
      <sheetName val="계충별(논외5안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A58">
            <v>10000000</v>
          </cell>
          <cell r="B58">
            <v>0.1</v>
          </cell>
        </row>
        <row r="59">
          <cell r="A59">
            <v>40000000</v>
          </cell>
          <cell r="B59">
            <v>0.2</v>
          </cell>
        </row>
        <row r="60">
          <cell r="A60">
            <v>80000000</v>
          </cell>
          <cell r="B60">
            <v>0.3</v>
          </cell>
        </row>
        <row r="61">
          <cell r="A61">
            <v>0</v>
          </cell>
          <cell r="B61">
            <v>0.4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매크로 보안수준 설명"/>
      <sheetName val="사용방법"/>
      <sheetName val="급여대장(입력용)"/>
      <sheetName val="급여대장(출력용)"/>
      <sheetName val="성명데이터"/>
    </sheetNames>
    <sheetDataSet>
      <sheetData sheetId="0"/>
      <sheetData sheetId="1" refreshError="1"/>
      <sheetData sheetId="2" refreshError="1"/>
      <sheetData sheetId="3">
        <row r="8">
          <cell r="A8" t="str">
            <v>홍길동</v>
          </cell>
          <cell r="D8" t="str">
            <v>대표이사</v>
          </cell>
          <cell r="G8">
            <v>1300000</v>
          </cell>
          <cell r="K8">
            <v>50000</v>
          </cell>
          <cell r="Q8">
            <v>100000</v>
          </cell>
          <cell r="T8">
            <v>200000</v>
          </cell>
          <cell r="Z8">
            <v>1650000</v>
          </cell>
          <cell r="AD8">
            <v>33600</v>
          </cell>
          <cell r="AG8">
            <v>3360</v>
          </cell>
          <cell r="AJ8" t="str">
            <v>개인</v>
          </cell>
          <cell r="AK8">
            <v>0</v>
          </cell>
          <cell r="AM8">
            <v>1300000</v>
          </cell>
          <cell r="AP8" t="str">
            <v>개인</v>
          </cell>
          <cell r="AQ8">
            <v>58500</v>
          </cell>
          <cell r="AS8" t="str">
            <v>개인</v>
          </cell>
          <cell r="AT8">
            <v>39355</v>
          </cell>
          <cell r="AV8">
            <v>50000</v>
          </cell>
          <cell r="AY8">
            <v>184815</v>
          </cell>
          <cell r="BC8">
            <v>1465185</v>
          </cell>
        </row>
        <row r="10">
          <cell r="AJ10" t="str">
            <v>회사</v>
          </cell>
          <cell r="AK10">
            <v>0</v>
          </cell>
          <cell r="AP10" t="str">
            <v>회사</v>
          </cell>
          <cell r="AQ10">
            <v>58500</v>
          </cell>
          <cell r="AS10" t="str">
            <v>회사</v>
          </cell>
          <cell r="AT10">
            <v>39355</v>
          </cell>
        </row>
        <row r="12">
          <cell r="A12" t="str">
            <v>한라산</v>
          </cell>
          <cell r="D12" t="str">
            <v>사원</v>
          </cell>
          <cell r="G12">
            <v>800000</v>
          </cell>
          <cell r="K12">
            <v>50000</v>
          </cell>
          <cell r="Q12">
            <v>100000</v>
          </cell>
          <cell r="T12">
            <v>100000</v>
          </cell>
          <cell r="Z12">
            <v>1050000</v>
          </cell>
          <cell r="AD12">
            <v>33600</v>
          </cell>
          <cell r="AG12">
            <v>3360</v>
          </cell>
          <cell r="AJ12" t="str">
            <v>개인</v>
          </cell>
          <cell r="AK12">
            <v>4725.0000000000009</v>
          </cell>
          <cell r="AM12">
            <v>800000</v>
          </cell>
          <cell r="AP12" t="str">
            <v>개인</v>
          </cell>
          <cell r="AQ12">
            <v>36000</v>
          </cell>
          <cell r="AS12" t="str">
            <v>개인</v>
          </cell>
          <cell r="AT12">
            <v>25045</v>
          </cell>
          <cell r="AY12">
            <v>102730</v>
          </cell>
          <cell r="BC12">
            <v>947270</v>
          </cell>
        </row>
        <row r="14">
          <cell r="AJ14" t="str">
            <v>회사</v>
          </cell>
          <cell r="AK14">
            <v>7349.9999999999991</v>
          </cell>
          <cell r="AP14" t="str">
            <v>회사</v>
          </cell>
          <cell r="AQ14">
            <v>36000</v>
          </cell>
          <cell r="AS14" t="str">
            <v>회사</v>
          </cell>
          <cell r="AT14">
            <v>25045</v>
          </cell>
        </row>
        <row r="16">
          <cell r="Z16">
            <v>0</v>
          </cell>
          <cell r="AG16">
            <v>0</v>
          </cell>
          <cell r="AJ16">
            <v>0</v>
          </cell>
          <cell r="AK16">
            <v>0</v>
          </cell>
          <cell r="AP16">
            <v>0</v>
          </cell>
          <cell r="AQ16">
            <v>0</v>
          </cell>
          <cell r="AS16">
            <v>0</v>
          </cell>
          <cell r="AT16">
            <v>0</v>
          </cell>
          <cell r="AY16">
            <v>0</v>
          </cell>
          <cell r="BC16">
            <v>0</v>
          </cell>
        </row>
        <row r="18">
          <cell r="AJ18">
            <v>0</v>
          </cell>
          <cell r="AK18">
            <v>0</v>
          </cell>
          <cell r="AP18">
            <v>0</v>
          </cell>
          <cell r="AQ18">
            <v>0</v>
          </cell>
          <cell r="AS18">
            <v>0</v>
          </cell>
          <cell r="AT18">
            <v>0</v>
          </cell>
        </row>
        <row r="20">
          <cell r="Z20">
            <v>0</v>
          </cell>
          <cell r="AG20">
            <v>0</v>
          </cell>
          <cell r="AJ20">
            <v>0</v>
          </cell>
          <cell r="AK20">
            <v>0</v>
          </cell>
          <cell r="AP20">
            <v>0</v>
          </cell>
          <cell r="AQ20">
            <v>0</v>
          </cell>
          <cell r="AS20">
            <v>0</v>
          </cell>
          <cell r="AT20">
            <v>0</v>
          </cell>
          <cell r="AY20">
            <v>0</v>
          </cell>
          <cell r="BC20">
            <v>0</v>
          </cell>
        </row>
        <row r="22">
          <cell r="AJ22">
            <v>0</v>
          </cell>
          <cell r="AK22">
            <v>0</v>
          </cell>
          <cell r="AP22">
            <v>0</v>
          </cell>
          <cell r="AQ22">
            <v>0</v>
          </cell>
          <cell r="AS22">
            <v>0</v>
          </cell>
          <cell r="AT22">
            <v>0</v>
          </cell>
        </row>
        <row r="24">
          <cell r="Z24">
            <v>0</v>
          </cell>
          <cell r="AG24">
            <v>0</v>
          </cell>
          <cell r="AJ24">
            <v>0</v>
          </cell>
          <cell r="AK24">
            <v>0</v>
          </cell>
          <cell r="AP24">
            <v>0</v>
          </cell>
          <cell r="AQ24">
            <v>0</v>
          </cell>
          <cell r="AS24">
            <v>0</v>
          </cell>
          <cell r="AT24">
            <v>0</v>
          </cell>
          <cell r="AY24">
            <v>0</v>
          </cell>
          <cell r="BC24">
            <v>0</v>
          </cell>
        </row>
        <row r="26">
          <cell r="AJ26">
            <v>0</v>
          </cell>
          <cell r="AK26">
            <v>0</v>
          </cell>
          <cell r="AP26">
            <v>0</v>
          </cell>
          <cell r="AQ26">
            <v>0</v>
          </cell>
          <cell r="AS26">
            <v>0</v>
          </cell>
          <cell r="AT26">
            <v>0</v>
          </cell>
        </row>
        <row r="28">
          <cell r="Z28">
            <v>0</v>
          </cell>
          <cell r="AG28">
            <v>0</v>
          </cell>
          <cell r="AJ28">
            <v>0</v>
          </cell>
          <cell r="AK28">
            <v>0</v>
          </cell>
          <cell r="AP28">
            <v>0</v>
          </cell>
          <cell r="AQ28">
            <v>0</v>
          </cell>
          <cell r="AS28">
            <v>0</v>
          </cell>
          <cell r="AT28">
            <v>0</v>
          </cell>
          <cell r="AY28">
            <v>0</v>
          </cell>
          <cell r="BC28">
            <v>0</v>
          </cell>
        </row>
        <row r="30">
          <cell r="AJ30">
            <v>0</v>
          </cell>
          <cell r="AK30">
            <v>0</v>
          </cell>
          <cell r="AP30">
            <v>0</v>
          </cell>
          <cell r="AQ30">
            <v>0</v>
          </cell>
          <cell r="AS30">
            <v>0</v>
          </cell>
          <cell r="AT30">
            <v>0</v>
          </cell>
        </row>
        <row r="32">
          <cell r="Z32">
            <v>0</v>
          </cell>
          <cell r="AG32">
            <v>0</v>
          </cell>
          <cell r="AJ32">
            <v>0</v>
          </cell>
          <cell r="AK32">
            <v>0</v>
          </cell>
          <cell r="AP32">
            <v>0</v>
          </cell>
          <cell r="AQ32">
            <v>0</v>
          </cell>
          <cell r="AS32">
            <v>0</v>
          </cell>
          <cell r="AT32">
            <v>0</v>
          </cell>
          <cell r="AY32">
            <v>0</v>
          </cell>
          <cell r="BC32">
            <v>0</v>
          </cell>
        </row>
        <row r="34">
          <cell r="AJ34">
            <v>0</v>
          </cell>
          <cell r="AK34">
            <v>0</v>
          </cell>
          <cell r="AP34">
            <v>0</v>
          </cell>
          <cell r="AQ34">
            <v>0</v>
          </cell>
          <cell r="AS34">
            <v>0</v>
          </cell>
          <cell r="AT34">
            <v>0</v>
          </cell>
        </row>
        <row r="36">
          <cell r="Z36">
            <v>0</v>
          </cell>
          <cell r="AG36">
            <v>0</v>
          </cell>
          <cell r="AJ36">
            <v>0</v>
          </cell>
          <cell r="AK36">
            <v>0</v>
          </cell>
          <cell r="AP36">
            <v>0</v>
          </cell>
          <cell r="AQ36">
            <v>0</v>
          </cell>
          <cell r="AS36">
            <v>0</v>
          </cell>
          <cell r="AT36">
            <v>0</v>
          </cell>
          <cell r="AY36">
            <v>0</v>
          </cell>
          <cell r="BC36">
            <v>0</v>
          </cell>
        </row>
        <row r="38">
          <cell r="AJ38">
            <v>0</v>
          </cell>
          <cell r="AK38">
            <v>0</v>
          </cell>
          <cell r="AP38">
            <v>0</v>
          </cell>
          <cell r="AQ38">
            <v>0</v>
          </cell>
          <cell r="AS38">
            <v>0</v>
          </cell>
          <cell r="AT38">
            <v>0</v>
          </cell>
        </row>
        <row r="40">
          <cell r="Z40">
            <v>0</v>
          </cell>
          <cell r="AG40">
            <v>0</v>
          </cell>
          <cell r="AJ40">
            <v>0</v>
          </cell>
          <cell r="AK40">
            <v>0</v>
          </cell>
          <cell r="AP40">
            <v>0</v>
          </cell>
          <cell r="AQ40">
            <v>0</v>
          </cell>
          <cell r="AS40">
            <v>0</v>
          </cell>
          <cell r="AT40">
            <v>0</v>
          </cell>
          <cell r="AY40">
            <v>0</v>
          </cell>
          <cell r="BC40">
            <v>0</v>
          </cell>
        </row>
        <row r="42">
          <cell r="AJ42">
            <v>0</v>
          </cell>
          <cell r="AK42">
            <v>0</v>
          </cell>
          <cell r="AP42">
            <v>0</v>
          </cell>
          <cell r="AQ42">
            <v>0</v>
          </cell>
          <cell r="AS42">
            <v>0</v>
          </cell>
          <cell r="AT42">
            <v>0</v>
          </cell>
        </row>
        <row r="44">
          <cell r="Z44">
            <v>0</v>
          </cell>
          <cell r="AG44">
            <v>0</v>
          </cell>
          <cell r="AJ44">
            <v>0</v>
          </cell>
          <cell r="AK44">
            <v>0</v>
          </cell>
          <cell r="AP44">
            <v>0</v>
          </cell>
          <cell r="AQ44">
            <v>0</v>
          </cell>
          <cell r="AS44">
            <v>0</v>
          </cell>
          <cell r="AT44">
            <v>0</v>
          </cell>
          <cell r="AY44">
            <v>0</v>
          </cell>
          <cell r="BC44">
            <v>0</v>
          </cell>
        </row>
        <row r="46">
          <cell r="AJ46">
            <v>0</v>
          </cell>
          <cell r="AK46">
            <v>0</v>
          </cell>
          <cell r="AP46">
            <v>0</v>
          </cell>
          <cell r="AQ46">
            <v>0</v>
          </cell>
          <cell r="AS46">
            <v>0</v>
          </cell>
          <cell r="AT46">
            <v>0</v>
          </cell>
        </row>
        <row r="48">
          <cell r="Z48">
            <v>0</v>
          </cell>
          <cell r="AG48">
            <v>0</v>
          </cell>
          <cell r="AJ48">
            <v>0</v>
          </cell>
          <cell r="AK48">
            <v>0</v>
          </cell>
          <cell r="AP48">
            <v>0</v>
          </cell>
          <cell r="AQ48">
            <v>0</v>
          </cell>
          <cell r="AS48">
            <v>0</v>
          </cell>
          <cell r="AT48">
            <v>0</v>
          </cell>
          <cell r="AY48">
            <v>0</v>
          </cell>
          <cell r="BC48">
            <v>0</v>
          </cell>
        </row>
        <row r="50">
          <cell r="AJ50">
            <v>0</v>
          </cell>
          <cell r="AK50">
            <v>0</v>
          </cell>
          <cell r="AP50">
            <v>0</v>
          </cell>
          <cell r="AQ50">
            <v>0</v>
          </cell>
          <cell r="AS50">
            <v>0</v>
          </cell>
          <cell r="AT50">
            <v>0</v>
          </cell>
        </row>
        <row r="52">
          <cell r="Z52">
            <v>0</v>
          </cell>
          <cell r="AG52">
            <v>0</v>
          </cell>
          <cell r="AJ52">
            <v>0</v>
          </cell>
          <cell r="AK52">
            <v>0</v>
          </cell>
          <cell r="AP52">
            <v>0</v>
          </cell>
          <cell r="AQ52">
            <v>0</v>
          </cell>
          <cell r="AS52">
            <v>0</v>
          </cell>
          <cell r="AT52">
            <v>0</v>
          </cell>
          <cell r="AY52">
            <v>0</v>
          </cell>
          <cell r="BC52">
            <v>0</v>
          </cell>
        </row>
        <row r="54">
          <cell r="AJ54">
            <v>0</v>
          </cell>
          <cell r="AK54">
            <v>0</v>
          </cell>
          <cell r="AP54">
            <v>0</v>
          </cell>
          <cell r="AQ54">
            <v>0</v>
          </cell>
          <cell r="AS54">
            <v>0</v>
          </cell>
          <cell r="AT54">
            <v>0</v>
          </cell>
        </row>
        <row r="56">
          <cell r="Z56">
            <v>0</v>
          </cell>
          <cell r="AG56">
            <v>0</v>
          </cell>
          <cell r="AJ56">
            <v>0</v>
          </cell>
          <cell r="AK56">
            <v>0</v>
          </cell>
          <cell r="AP56">
            <v>0</v>
          </cell>
          <cell r="AQ56">
            <v>0</v>
          </cell>
          <cell r="AS56">
            <v>0</v>
          </cell>
          <cell r="AT56">
            <v>0</v>
          </cell>
          <cell r="AY56">
            <v>0</v>
          </cell>
          <cell r="BC56">
            <v>0</v>
          </cell>
        </row>
        <row r="58">
          <cell r="AJ58">
            <v>0</v>
          </cell>
          <cell r="AK58">
            <v>0</v>
          </cell>
          <cell r="AP58">
            <v>0</v>
          </cell>
          <cell r="AQ58">
            <v>0</v>
          </cell>
          <cell r="AS58">
            <v>0</v>
          </cell>
          <cell r="AT58">
            <v>0</v>
          </cell>
        </row>
        <row r="60">
          <cell r="Z60">
            <v>0</v>
          </cell>
          <cell r="AG60">
            <v>0</v>
          </cell>
          <cell r="AJ60">
            <v>0</v>
          </cell>
          <cell r="AK60">
            <v>0</v>
          </cell>
          <cell r="AP60">
            <v>0</v>
          </cell>
          <cell r="AQ60">
            <v>0</v>
          </cell>
          <cell r="AS60">
            <v>0</v>
          </cell>
          <cell r="AT60">
            <v>0</v>
          </cell>
          <cell r="AY60">
            <v>0</v>
          </cell>
          <cell r="BC60">
            <v>0</v>
          </cell>
        </row>
        <row r="62">
          <cell r="AJ62">
            <v>0</v>
          </cell>
          <cell r="AK62">
            <v>0</v>
          </cell>
          <cell r="AP62">
            <v>0</v>
          </cell>
          <cell r="AQ62">
            <v>0</v>
          </cell>
          <cell r="AS62">
            <v>0</v>
          </cell>
          <cell r="AT62">
            <v>0</v>
          </cell>
        </row>
        <row r="64">
          <cell r="Z64">
            <v>0</v>
          </cell>
          <cell r="AG64">
            <v>0</v>
          </cell>
          <cell r="AJ64">
            <v>0</v>
          </cell>
          <cell r="AK64">
            <v>0</v>
          </cell>
          <cell r="AP64">
            <v>0</v>
          </cell>
          <cell r="AQ64">
            <v>0</v>
          </cell>
          <cell r="AS64">
            <v>0</v>
          </cell>
          <cell r="AT64">
            <v>0</v>
          </cell>
          <cell r="AY64">
            <v>0</v>
          </cell>
          <cell r="BC64">
            <v>0</v>
          </cell>
        </row>
        <row r="66">
          <cell r="AJ66">
            <v>0</v>
          </cell>
          <cell r="AK66">
            <v>0</v>
          </cell>
          <cell r="AP66">
            <v>0</v>
          </cell>
          <cell r="AQ66">
            <v>0</v>
          </cell>
          <cell r="AS66">
            <v>0</v>
          </cell>
          <cell r="AT66">
            <v>0</v>
          </cell>
        </row>
        <row r="68">
          <cell r="Z68">
            <v>0</v>
          </cell>
          <cell r="AG68">
            <v>0</v>
          </cell>
          <cell r="AJ68">
            <v>0</v>
          </cell>
          <cell r="AK68">
            <v>0</v>
          </cell>
          <cell r="AP68">
            <v>0</v>
          </cell>
          <cell r="AQ68">
            <v>0</v>
          </cell>
          <cell r="AS68">
            <v>0</v>
          </cell>
          <cell r="AT68">
            <v>0</v>
          </cell>
          <cell r="AY68">
            <v>0</v>
          </cell>
          <cell r="BC68">
            <v>0</v>
          </cell>
        </row>
        <row r="70">
          <cell r="AJ70">
            <v>0</v>
          </cell>
          <cell r="AK70">
            <v>0</v>
          </cell>
          <cell r="AP70">
            <v>0</v>
          </cell>
          <cell r="AQ70">
            <v>0</v>
          </cell>
          <cell r="AS70">
            <v>0</v>
          </cell>
          <cell r="AT70">
            <v>0</v>
          </cell>
        </row>
        <row r="72">
          <cell r="Z72">
            <v>0</v>
          </cell>
          <cell r="AG72">
            <v>0</v>
          </cell>
          <cell r="AJ72">
            <v>0</v>
          </cell>
          <cell r="AK72">
            <v>0</v>
          </cell>
          <cell r="AP72">
            <v>0</v>
          </cell>
          <cell r="AQ72">
            <v>0</v>
          </cell>
          <cell r="AS72">
            <v>0</v>
          </cell>
          <cell r="AT72">
            <v>0</v>
          </cell>
          <cell r="AY72">
            <v>0</v>
          </cell>
          <cell r="BC72">
            <v>0</v>
          </cell>
        </row>
        <row r="74">
          <cell r="AJ74">
            <v>0</v>
          </cell>
          <cell r="AK74">
            <v>0</v>
          </cell>
          <cell r="AP74">
            <v>0</v>
          </cell>
          <cell r="AQ74">
            <v>0</v>
          </cell>
          <cell r="AS74">
            <v>0</v>
          </cell>
          <cell r="AT74">
            <v>0</v>
          </cell>
        </row>
        <row r="76">
          <cell r="Z76">
            <v>0</v>
          </cell>
          <cell r="AG76">
            <v>0</v>
          </cell>
          <cell r="AJ76">
            <v>0</v>
          </cell>
          <cell r="AK76">
            <v>0</v>
          </cell>
          <cell r="AP76">
            <v>0</v>
          </cell>
          <cell r="AQ76">
            <v>0</v>
          </cell>
          <cell r="AS76">
            <v>0</v>
          </cell>
          <cell r="AT76">
            <v>0</v>
          </cell>
          <cell r="AY76">
            <v>0</v>
          </cell>
          <cell r="BC76">
            <v>0</v>
          </cell>
        </row>
        <row r="78">
          <cell r="AJ78">
            <v>0</v>
          </cell>
          <cell r="AK78">
            <v>0</v>
          </cell>
          <cell r="AP78">
            <v>0</v>
          </cell>
          <cell r="AQ78">
            <v>0</v>
          </cell>
          <cell r="AS78">
            <v>0</v>
          </cell>
          <cell r="AT78">
            <v>0</v>
          </cell>
        </row>
        <row r="80">
          <cell r="Z80">
            <v>0</v>
          </cell>
          <cell r="AG80">
            <v>0</v>
          </cell>
          <cell r="AJ80">
            <v>0</v>
          </cell>
          <cell r="AK80">
            <v>0</v>
          </cell>
          <cell r="AP80">
            <v>0</v>
          </cell>
          <cell r="AQ80">
            <v>0</v>
          </cell>
          <cell r="AS80">
            <v>0</v>
          </cell>
          <cell r="AT80">
            <v>0</v>
          </cell>
          <cell r="AY80">
            <v>0</v>
          </cell>
          <cell r="BC80">
            <v>0</v>
          </cell>
        </row>
        <row r="82">
          <cell r="AJ82">
            <v>0</v>
          </cell>
          <cell r="AK82">
            <v>0</v>
          </cell>
          <cell r="AP82">
            <v>0</v>
          </cell>
          <cell r="AQ82">
            <v>0</v>
          </cell>
          <cell r="AS82">
            <v>0</v>
          </cell>
          <cell r="AT82">
            <v>0</v>
          </cell>
        </row>
        <row r="84">
          <cell r="Z84">
            <v>0</v>
          </cell>
          <cell r="AG84">
            <v>0</v>
          </cell>
          <cell r="AJ84">
            <v>0</v>
          </cell>
          <cell r="AK84">
            <v>0</v>
          </cell>
          <cell r="AP84">
            <v>0</v>
          </cell>
          <cell r="AQ84">
            <v>0</v>
          </cell>
          <cell r="AS84">
            <v>0</v>
          </cell>
          <cell r="AT84">
            <v>0</v>
          </cell>
          <cell r="AY84">
            <v>0</v>
          </cell>
          <cell r="BC84">
            <v>0</v>
          </cell>
        </row>
        <row r="86">
          <cell r="AJ86">
            <v>0</v>
          </cell>
          <cell r="AK86">
            <v>0</v>
          </cell>
          <cell r="AP86">
            <v>0</v>
          </cell>
          <cell r="AQ86">
            <v>0</v>
          </cell>
          <cell r="AS86">
            <v>0</v>
          </cell>
          <cell r="AT86">
            <v>0</v>
          </cell>
        </row>
      </sheetData>
      <sheetData sheetId="4" refreshError="1"/>
      <sheetData sheetId="5">
        <row r="2">
          <cell r="B2" t="str">
            <v>홍길동</v>
          </cell>
        </row>
        <row r="3">
          <cell r="B3" t="str">
            <v>한라산</v>
          </cell>
        </row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yhr.co.k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53965-B180-4152-8C15-78CC6CD411B8}">
  <sheetPr>
    <tabColor rgb="FFFFFF00"/>
  </sheetPr>
  <dimension ref="A1:J34"/>
  <sheetViews>
    <sheetView showGridLines="0" view="pageBreakPreview" zoomScaleNormal="100" zoomScaleSheetLayoutView="100" workbookViewId="0">
      <selection activeCell="B33" sqref="B33:I33"/>
    </sheetView>
  </sheetViews>
  <sheetFormatPr defaultColWidth="8.88671875" defaultRowHeight="16.5"/>
  <cols>
    <col min="1" max="1" width="1.88671875" style="117" customWidth="1"/>
    <col min="2" max="9" width="10" style="117" customWidth="1"/>
    <col min="10" max="10" width="1.88671875" style="117" customWidth="1"/>
    <col min="11" max="16384" width="8.88671875" style="125"/>
  </cols>
  <sheetData>
    <row r="1" spans="2:10" s="116" customFormat="1" ht="12.75" customHeight="1">
      <c r="B1" s="512"/>
      <c r="C1" s="512"/>
      <c r="D1" s="512"/>
      <c r="E1" s="512"/>
      <c r="F1" s="512"/>
      <c r="G1" s="512"/>
      <c r="H1" s="512"/>
      <c r="I1" s="512"/>
    </row>
    <row r="2" spans="2:10" s="117" customFormat="1"/>
    <row r="3" spans="2:10" s="116" customFormat="1" ht="12.75" customHeight="1">
      <c r="B3" s="512"/>
      <c r="C3" s="512"/>
      <c r="D3" s="512"/>
      <c r="E3" s="512"/>
      <c r="F3" s="512"/>
      <c r="G3" s="512"/>
      <c r="H3" s="512"/>
      <c r="I3" s="512"/>
    </row>
    <row r="4" spans="2:10" s="117" customFormat="1"/>
    <row r="5" spans="2:10" s="117" customFormat="1"/>
    <row r="6" spans="2:10" s="117" customFormat="1"/>
    <row r="7" spans="2:10" s="116" customFormat="1" ht="17.25" thickBot="1">
      <c r="H7" s="118"/>
      <c r="I7" s="118" t="s">
        <v>89</v>
      </c>
    </row>
    <row r="8" spans="2:10" s="116" customFormat="1" ht="72.75" customHeight="1" thickBot="1">
      <c r="B8" s="513" t="s">
        <v>30</v>
      </c>
      <c r="C8" s="514"/>
      <c r="D8" s="514"/>
      <c r="E8" s="514"/>
      <c r="F8" s="514"/>
      <c r="G8" s="514"/>
      <c r="H8" s="514"/>
      <c r="I8" s="515"/>
      <c r="J8" s="119"/>
    </row>
    <row r="9" spans="2:10" s="116" customFormat="1" ht="15.75" customHeight="1">
      <c r="I9" s="120"/>
    </row>
    <row r="10" spans="2:10" s="116" customFormat="1" ht="52.5" customHeight="1">
      <c r="B10" s="516" t="s">
        <v>31</v>
      </c>
      <c r="C10" s="516"/>
      <c r="D10" s="516"/>
      <c r="E10" s="516"/>
      <c r="F10" s="516"/>
      <c r="G10" s="516"/>
      <c r="H10" s="516"/>
      <c r="I10" s="516"/>
      <c r="J10" s="121"/>
    </row>
    <row r="11" spans="2:10" s="117" customFormat="1"/>
    <row r="12" spans="2:10" s="116" customFormat="1" ht="9" customHeight="1">
      <c r="B12" s="517"/>
      <c r="C12" s="517"/>
      <c r="D12" s="517"/>
      <c r="E12" s="517"/>
      <c r="F12" s="517"/>
      <c r="G12" s="517"/>
      <c r="H12" s="517"/>
      <c r="I12" s="517"/>
      <c r="J12" s="119"/>
    </row>
    <row r="13" spans="2:10" s="117" customFormat="1" ht="9" customHeight="1"/>
    <row r="14" spans="2:10" s="117" customFormat="1" ht="7.5" customHeight="1"/>
    <row r="15" spans="2:10" s="116" customFormat="1" ht="17.25" thickBot="1"/>
    <row r="16" spans="2:10" s="122" customFormat="1" ht="44.25" customHeight="1">
      <c r="C16" s="508" t="s">
        <v>32</v>
      </c>
      <c r="D16" s="509"/>
      <c r="E16" s="510" t="e">
        <f>#REF!</f>
        <v>#REF!</v>
      </c>
      <c r="F16" s="510"/>
      <c r="G16" s="510"/>
      <c r="H16" s="511"/>
    </row>
    <row r="17" spans="2:9" s="122" customFormat="1" ht="44.25" customHeight="1">
      <c r="C17" s="504" t="s">
        <v>33</v>
      </c>
      <c r="D17" s="505"/>
      <c r="E17" s="506" t="s">
        <v>44</v>
      </c>
      <c r="F17" s="506"/>
      <c r="G17" s="506"/>
      <c r="H17" s="507"/>
    </row>
    <row r="18" spans="2:9" s="122" customFormat="1" ht="44.25" customHeight="1">
      <c r="C18" s="504" t="s">
        <v>34</v>
      </c>
      <c r="D18" s="505"/>
      <c r="E18" s="506" t="s">
        <v>252</v>
      </c>
      <c r="F18" s="506"/>
      <c r="G18" s="506"/>
      <c r="H18" s="507"/>
    </row>
    <row r="19" spans="2:9" s="122" customFormat="1" ht="44.25" customHeight="1">
      <c r="C19" s="504" t="s">
        <v>35</v>
      </c>
      <c r="D19" s="505"/>
      <c r="E19" s="506" t="s">
        <v>253</v>
      </c>
      <c r="F19" s="506"/>
      <c r="G19" s="506"/>
      <c r="H19" s="507"/>
    </row>
    <row r="20" spans="2:9" s="122" customFormat="1" ht="44.25" customHeight="1" thickBot="1">
      <c r="C20" s="494" t="s">
        <v>42</v>
      </c>
      <c r="D20" s="495"/>
      <c r="E20" s="496">
        <f ca="1">F21</f>
        <v>45588</v>
      </c>
      <c r="F20" s="496"/>
      <c r="G20" s="496"/>
      <c r="H20" s="497"/>
    </row>
    <row r="21" spans="2:9" s="117" customFormat="1">
      <c r="C21" s="498" t="s">
        <v>43</v>
      </c>
      <c r="D21" s="498"/>
      <c r="E21" s="498"/>
      <c r="F21" s="500">
        <f ca="1">TODAY()</f>
        <v>45588</v>
      </c>
      <c r="G21" s="500"/>
      <c r="H21" s="500"/>
    </row>
    <row r="22" spans="2:9" s="117" customFormat="1">
      <c r="C22" s="499"/>
      <c r="D22" s="499"/>
      <c r="E22" s="499"/>
      <c r="F22" s="501"/>
      <c r="G22" s="501"/>
      <c r="H22" s="501"/>
    </row>
    <row r="23" spans="2:9" s="117" customFormat="1"/>
    <row r="24" spans="2:9" s="117" customFormat="1"/>
    <row r="25" spans="2:9" s="117" customFormat="1"/>
    <row r="26" spans="2:9" s="116" customFormat="1" ht="9.75" customHeight="1"/>
    <row r="27" spans="2:9" s="116" customFormat="1" ht="6" hidden="1" customHeight="1"/>
    <row r="28" spans="2:9" s="116" customFormat="1" hidden="1"/>
    <row r="29" spans="2:9" s="116" customFormat="1" hidden="1"/>
    <row r="30" spans="2:9" s="116" customFormat="1" ht="77.25" customHeight="1">
      <c r="B30" s="123"/>
      <c r="C30" s="123"/>
      <c r="D30" s="123"/>
      <c r="E30" s="123"/>
      <c r="F30" s="123"/>
      <c r="G30" s="123"/>
      <c r="H30" s="123"/>
      <c r="I30" s="123"/>
    </row>
    <row r="31" spans="2:9" s="116" customFormat="1" ht="18.75" customHeight="1">
      <c r="B31" s="502" t="s">
        <v>36</v>
      </c>
      <c r="C31" s="503"/>
      <c r="D31" s="503"/>
      <c r="E31" s="503"/>
      <c r="F31" s="503"/>
      <c r="G31" s="503"/>
      <c r="H31" s="503"/>
      <c r="I31" s="503"/>
    </row>
    <row r="32" spans="2:9" s="124" customFormat="1" ht="20.25" customHeight="1">
      <c r="B32" s="493" t="s">
        <v>254</v>
      </c>
      <c r="C32" s="493"/>
      <c r="D32" s="493"/>
      <c r="E32" s="493"/>
      <c r="F32" s="493"/>
      <c r="G32" s="493"/>
      <c r="H32" s="493"/>
      <c r="I32" s="493"/>
    </row>
    <row r="33" spans="2:9" s="124" customFormat="1" ht="48" customHeight="1">
      <c r="B33" s="492" t="s">
        <v>255</v>
      </c>
      <c r="C33" s="493"/>
      <c r="D33" s="493"/>
      <c r="E33" s="493"/>
      <c r="F33" s="493"/>
      <c r="G33" s="493"/>
      <c r="H33" s="493"/>
      <c r="I33" s="493"/>
    </row>
    <row r="34" spans="2:9" s="116" customFormat="1"/>
  </sheetData>
  <mergeCells count="20">
    <mergeCell ref="C16:D16"/>
    <mergeCell ref="E16:H16"/>
    <mergeCell ref="B1:I1"/>
    <mergeCell ref="B3:I3"/>
    <mergeCell ref="B8:I8"/>
    <mergeCell ref="B10:I10"/>
    <mergeCell ref="B12:I12"/>
    <mergeCell ref="C17:D17"/>
    <mergeCell ref="E17:H17"/>
    <mergeCell ref="C18:D18"/>
    <mergeCell ref="E18:H18"/>
    <mergeCell ref="C19:D19"/>
    <mergeCell ref="E19:H19"/>
    <mergeCell ref="B33:I33"/>
    <mergeCell ref="C20:D20"/>
    <mergeCell ref="E20:H20"/>
    <mergeCell ref="C21:E22"/>
    <mergeCell ref="F21:H22"/>
    <mergeCell ref="B31:I31"/>
    <mergeCell ref="B32:I32"/>
  </mergeCells>
  <phoneticPr fontId="15" type="noConversion"/>
  <hyperlinks>
    <hyperlink ref="B31" r:id="rId1" xr:uid="{B5411ADF-A401-44DF-B1BE-3CC5F8BC73B1}"/>
  </hyperlinks>
  <pageMargins left="0.51181102362204722" right="0.51181102362204722" top="0.55118110236220474" bottom="0.55118110236220474" header="0.31496062992125984" footer="0.31496062992125984"/>
  <pageSetup paperSize="9" scale="9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3B5F6-41E6-4DAB-BB6A-22CEC115B479}">
  <dimension ref="A1:AR140"/>
  <sheetViews>
    <sheetView showGridLines="0" showWhiteSpace="0" view="pageBreakPreview" zoomScale="80" zoomScaleNormal="100" zoomScaleSheetLayoutView="80" workbookViewId="0">
      <selection activeCell="K30" sqref="K30"/>
    </sheetView>
  </sheetViews>
  <sheetFormatPr defaultColWidth="8.88671875" defaultRowHeight="16.5"/>
  <cols>
    <col min="1" max="1" width="3.44140625" style="15" bestFit="1" customWidth="1"/>
    <col min="2" max="2" width="9.88671875" style="15" customWidth="1"/>
    <col min="3" max="3" width="9.109375" style="15" customWidth="1"/>
    <col min="4" max="34" width="5.44140625" style="15" customWidth="1"/>
    <col min="35" max="36" width="6.77734375" style="111" customWidth="1"/>
    <col min="37" max="37" width="7.6640625" style="15" customWidth="1"/>
    <col min="38" max="16384" width="8.88671875" style="125"/>
  </cols>
  <sheetData>
    <row r="1" spans="1:44" s="2" customFormat="1" ht="47.25" customHeight="1" thickBot="1">
      <c r="A1" s="527" t="e">
        <f>#REF!</f>
        <v>#REF!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9" t="s">
        <v>38</v>
      </c>
      <c r="Q1" s="529"/>
      <c r="R1" s="529"/>
      <c r="S1" s="529"/>
      <c r="T1" s="529"/>
      <c r="U1" s="529"/>
      <c r="V1" s="529"/>
      <c r="W1" s="530" t="e">
        <f>#REF!</f>
        <v>#REF!</v>
      </c>
      <c r="X1" s="530"/>
      <c r="Y1" s="530"/>
      <c r="Z1" s="530"/>
      <c r="AA1" s="530"/>
      <c r="AB1" s="530"/>
      <c r="AC1" s="126"/>
      <c r="AD1" s="25"/>
      <c r="AE1" s="25"/>
      <c r="AF1" s="25"/>
      <c r="AG1" s="25"/>
      <c r="AH1" s="25"/>
      <c r="AI1" s="25"/>
      <c r="AJ1" s="37"/>
      <c r="AK1" s="26"/>
    </row>
    <row r="2" spans="1:44" s="2" customFormat="1" ht="8.25" customHeight="1">
      <c r="A2" s="3"/>
      <c r="B2" s="4"/>
      <c r="C2" s="4"/>
      <c r="D2" s="3"/>
      <c r="E2" s="3"/>
      <c r="F2" s="3"/>
      <c r="G2" s="4"/>
      <c r="H2" s="4"/>
      <c r="I2" s="4"/>
      <c r="J2" s="4"/>
      <c r="K2" s="1"/>
      <c r="L2" s="4"/>
      <c r="M2" s="4"/>
      <c r="N2" s="4"/>
      <c r="O2" s="4"/>
      <c r="P2" s="4"/>
      <c r="Q2" s="4"/>
      <c r="R2" s="4"/>
      <c r="S2" s="4"/>
      <c r="T2" s="4"/>
      <c r="U2" s="4"/>
      <c r="AI2" s="30"/>
      <c r="AJ2" s="30"/>
    </row>
    <row r="3" spans="1:44" s="1" customFormat="1" ht="22.5" customHeight="1" thickBot="1">
      <c r="A3" s="531" t="s">
        <v>37</v>
      </c>
      <c r="B3" s="531"/>
      <c r="C3" s="531"/>
      <c r="D3" s="532"/>
      <c r="E3" s="532"/>
      <c r="F3" s="532"/>
      <c r="G3" s="532"/>
      <c r="I3" s="36"/>
      <c r="K3" s="103">
        <v>10</v>
      </c>
      <c r="L3" s="103"/>
      <c r="M3" s="103"/>
      <c r="N3" s="103"/>
      <c r="O3" s="103"/>
      <c r="P3" s="103"/>
      <c r="Q3" s="103"/>
      <c r="R3" s="103"/>
      <c r="S3" s="103"/>
      <c r="T3" s="103"/>
      <c r="U3" s="103">
        <v>20</v>
      </c>
      <c r="V3" s="103"/>
      <c r="W3" s="103"/>
      <c r="X3" s="103"/>
      <c r="Y3" s="103"/>
      <c r="Z3" s="103"/>
      <c r="AA3" s="103"/>
      <c r="AB3" s="103"/>
      <c r="AC3" s="103"/>
      <c r="AD3" s="103"/>
      <c r="AE3" s="103">
        <v>30</v>
      </c>
      <c r="AF3" s="103"/>
      <c r="AG3" s="103"/>
      <c r="AH3" s="103"/>
      <c r="AI3" s="110"/>
      <c r="AJ3" s="110"/>
      <c r="AL3" s="1">
        <v>37</v>
      </c>
      <c r="AM3" s="1">
        <v>38</v>
      </c>
      <c r="AN3" s="1">
        <v>39</v>
      </c>
      <c r="AO3" s="1">
        <v>40</v>
      </c>
      <c r="AP3" s="1">
        <v>41</v>
      </c>
      <c r="AQ3" s="1">
        <v>42</v>
      </c>
      <c r="AR3" s="1">
        <v>43</v>
      </c>
    </row>
    <row r="4" spans="1:44" s="111" customFormat="1" ht="18" customHeight="1">
      <c r="A4" s="533" t="s">
        <v>5</v>
      </c>
      <c r="B4" s="535" t="s">
        <v>6</v>
      </c>
      <c r="C4" s="127" t="s">
        <v>11</v>
      </c>
      <c r="D4" s="128" t="e">
        <f>W1</f>
        <v>#REF!</v>
      </c>
      <c r="E4" s="129" t="e">
        <f>D4+1</f>
        <v>#REF!</v>
      </c>
      <c r="F4" s="129" t="e">
        <f t="shared" ref="F4:AH4" si="0">E4+1</f>
        <v>#REF!</v>
      </c>
      <c r="G4" s="129" t="e">
        <f t="shared" si="0"/>
        <v>#REF!</v>
      </c>
      <c r="H4" s="129" t="e">
        <f t="shared" si="0"/>
        <v>#REF!</v>
      </c>
      <c r="I4" s="129" t="e">
        <f t="shared" si="0"/>
        <v>#REF!</v>
      </c>
      <c r="J4" s="129" t="e">
        <f t="shared" si="0"/>
        <v>#REF!</v>
      </c>
      <c r="K4" s="129" t="e">
        <f t="shared" si="0"/>
        <v>#REF!</v>
      </c>
      <c r="L4" s="129" t="e">
        <f t="shared" si="0"/>
        <v>#REF!</v>
      </c>
      <c r="M4" s="129" t="e">
        <f t="shared" si="0"/>
        <v>#REF!</v>
      </c>
      <c r="N4" s="129" t="e">
        <f t="shared" si="0"/>
        <v>#REF!</v>
      </c>
      <c r="O4" s="129" t="e">
        <f t="shared" si="0"/>
        <v>#REF!</v>
      </c>
      <c r="P4" s="129" t="e">
        <f t="shared" si="0"/>
        <v>#REF!</v>
      </c>
      <c r="Q4" s="129" t="e">
        <f t="shared" si="0"/>
        <v>#REF!</v>
      </c>
      <c r="R4" s="129" t="e">
        <f t="shared" si="0"/>
        <v>#REF!</v>
      </c>
      <c r="S4" s="129" t="e">
        <f t="shared" si="0"/>
        <v>#REF!</v>
      </c>
      <c r="T4" s="129" t="e">
        <f t="shared" si="0"/>
        <v>#REF!</v>
      </c>
      <c r="U4" s="129" t="e">
        <f t="shared" si="0"/>
        <v>#REF!</v>
      </c>
      <c r="V4" s="129" t="e">
        <f t="shared" si="0"/>
        <v>#REF!</v>
      </c>
      <c r="W4" s="129" t="e">
        <f t="shared" si="0"/>
        <v>#REF!</v>
      </c>
      <c r="X4" s="129" t="e">
        <f t="shared" si="0"/>
        <v>#REF!</v>
      </c>
      <c r="Y4" s="129" t="e">
        <f t="shared" si="0"/>
        <v>#REF!</v>
      </c>
      <c r="Z4" s="129" t="e">
        <f t="shared" si="0"/>
        <v>#REF!</v>
      </c>
      <c r="AA4" s="129" t="e">
        <f t="shared" si="0"/>
        <v>#REF!</v>
      </c>
      <c r="AB4" s="129" t="e">
        <f t="shared" si="0"/>
        <v>#REF!</v>
      </c>
      <c r="AC4" s="129" t="e">
        <f t="shared" si="0"/>
        <v>#REF!</v>
      </c>
      <c r="AD4" s="129" t="e">
        <f t="shared" si="0"/>
        <v>#REF!</v>
      </c>
      <c r="AE4" s="129" t="e">
        <f t="shared" si="0"/>
        <v>#REF!</v>
      </c>
      <c r="AF4" s="129" t="e">
        <f t="shared" si="0"/>
        <v>#REF!</v>
      </c>
      <c r="AG4" s="129" t="e">
        <f t="shared" si="0"/>
        <v>#REF!</v>
      </c>
      <c r="AH4" s="129" t="e">
        <f t="shared" si="0"/>
        <v>#REF!</v>
      </c>
      <c r="AI4" s="537" t="s">
        <v>13</v>
      </c>
      <c r="AJ4" s="539" t="s">
        <v>14</v>
      </c>
      <c r="AK4" s="541" t="s">
        <v>15</v>
      </c>
    </row>
    <row r="5" spans="1:44" s="111" customFormat="1" ht="18" customHeight="1" thickBot="1">
      <c r="A5" s="534"/>
      <c r="B5" s="536"/>
      <c r="C5" s="130" t="s">
        <v>12</v>
      </c>
      <c r="D5" s="131" t="e">
        <f>TEXT(D4,"aaa")</f>
        <v>#REF!</v>
      </c>
      <c r="E5" s="131" t="e">
        <f t="shared" ref="E5:AH5" si="1">TEXT(E4,"aaa")</f>
        <v>#REF!</v>
      </c>
      <c r="F5" s="131" t="e">
        <f t="shared" si="1"/>
        <v>#REF!</v>
      </c>
      <c r="G5" s="131" t="e">
        <f t="shared" si="1"/>
        <v>#REF!</v>
      </c>
      <c r="H5" s="131" t="e">
        <f t="shared" si="1"/>
        <v>#REF!</v>
      </c>
      <c r="I5" s="131" t="e">
        <f t="shared" si="1"/>
        <v>#REF!</v>
      </c>
      <c r="J5" s="131" t="e">
        <f t="shared" si="1"/>
        <v>#REF!</v>
      </c>
      <c r="K5" s="131" t="e">
        <f t="shared" si="1"/>
        <v>#REF!</v>
      </c>
      <c r="L5" s="131" t="e">
        <f t="shared" si="1"/>
        <v>#REF!</v>
      </c>
      <c r="M5" s="131" t="e">
        <f t="shared" si="1"/>
        <v>#REF!</v>
      </c>
      <c r="N5" s="131" t="e">
        <f t="shared" si="1"/>
        <v>#REF!</v>
      </c>
      <c r="O5" s="131" t="e">
        <f t="shared" si="1"/>
        <v>#REF!</v>
      </c>
      <c r="P5" s="131" t="e">
        <f t="shared" si="1"/>
        <v>#REF!</v>
      </c>
      <c r="Q5" s="131" t="e">
        <f t="shared" si="1"/>
        <v>#REF!</v>
      </c>
      <c r="R5" s="131" t="e">
        <f t="shared" si="1"/>
        <v>#REF!</v>
      </c>
      <c r="S5" s="131" t="e">
        <f t="shared" si="1"/>
        <v>#REF!</v>
      </c>
      <c r="T5" s="131" t="e">
        <f t="shared" si="1"/>
        <v>#REF!</v>
      </c>
      <c r="U5" s="131" t="e">
        <f t="shared" si="1"/>
        <v>#REF!</v>
      </c>
      <c r="V5" s="131" t="e">
        <f t="shared" si="1"/>
        <v>#REF!</v>
      </c>
      <c r="W5" s="131" t="e">
        <f t="shared" si="1"/>
        <v>#REF!</v>
      </c>
      <c r="X5" s="131" t="e">
        <f t="shared" si="1"/>
        <v>#REF!</v>
      </c>
      <c r="Y5" s="131" t="e">
        <f t="shared" si="1"/>
        <v>#REF!</v>
      </c>
      <c r="Z5" s="131" t="e">
        <f t="shared" si="1"/>
        <v>#REF!</v>
      </c>
      <c r="AA5" s="131" t="e">
        <f t="shared" si="1"/>
        <v>#REF!</v>
      </c>
      <c r="AB5" s="131" t="e">
        <f t="shared" si="1"/>
        <v>#REF!</v>
      </c>
      <c r="AC5" s="131" t="e">
        <f t="shared" si="1"/>
        <v>#REF!</v>
      </c>
      <c r="AD5" s="131" t="e">
        <f t="shared" si="1"/>
        <v>#REF!</v>
      </c>
      <c r="AE5" s="131" t="e">
        <f t="shared" si="1"/>
        <v>#REF!</v>
      </c>
      <c r="AF5" s="131" t="e">
        <f t="shared" si="1"/>
        <v>#REF!</v>
      </c>
      <c r="AG5" s="131" t="e">
        <f t="shared" si="1"/>
        <v>#REF!</v>
      </c>
      <c r="AH5" s="131" t="e">
        <f t="shared" si="1"/>
        <v>#REF!</v>
      </c>
      <c r="AI5" s="538"/>
      <c r="AJ5" s="540"/>
      <c r="AK5" s="542"/>
      <c r="AL5" s="520" t="s">
        <v>49</v>
      </c>
      <c r="AM5" s="521"/>
      <c r="AN5" s="521"/>
      <c r="AO5" s="521"/>
      <c r="AP5" s="521"/>
      <c r="AQ5" s="521"/>
      <c r="AR5" s="111" t="s">
        <v>48</v>
      </c>
    </row>
    <row r="6" spans="1:44" s="111" customFormat="1" ht="18" customHeight="1">
      <c r="A6" s="46">
        <v>1</v>
      </c>
      <c r="B6" s="47" t="e">
        <f>_xlfn.XLOOKUP(A6,#REF!,#REF!)</f>
        <v>#REF!</v>
      </c>
      <c r="C6" s="48" t="s">
        <v>9</v>
      </c>
      <c r="D6" s="104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49"/>
      <c r="AJ6" s="50"/>
      <c r="AK6" s="522">
        <f>COUNT(D6:AH6)</f>
        <v>0</v>
      </c>
      <c r="AL6" s="111" t="str">
        <f>C8</f>
        <v>기본근로</v>
      </c>
      <c r="AM6" s="111" t="str">
        <f>C13</f>
        <v>주휴일</v>
      </c>
      <c r="AN6" s="111" t="str">
        <f>C9</f>
        <v>고정연장</v>
      </c>
      <c r="AO6" s="111" t="str">
        <f>C10</f>
        <v>특별연장</v>
      </c>
      <c r="AP6" s="111" t="str">
        <f>C11</f>
        <v>야간근로</v>
      </c>
      <c r="AQ6" s="111" t="str">
        <f>C12</f>
        <v>휴일근로</v>
      </c>
      <c r="AR6" s="111" t="str">
        <f>C14</f>
        <v>연차휴가</v>
      </c>
    </row>
    <row r="7" spans="1:44" s="111" customFormat="1" ht="18" customHeight="1">
      <c r="A7" s="45"/>
      <c r="B7" s="41" t="e">
        <f>_xlfn.XLOOKUP(A6,#REF!,#REF!)</f>
        <v>#REF!</v>
      </c>
      <c r="C7" s="9" t="s">
        <v>10</v>
      </c>
      <c r="D7" s="52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1"/>
      <c r="AJ7" s="12"/>
      <c r="AK7" s="523"/>
      <c r="AL7" s="51">
        <f>AI8</f>
        <v>184</v>
      </c>
      <c r="AM7" s="51">
        <f>AI13</f>
        <v>32</v>
      </c>
      <c r="AN7" s="51">
        <f>AI9</f>
        <v>0</v>
      </c>
      <c r="AO7" s="51">
        <f>AI10</f>
        <v>0</v>
      </c>
      <c r="AP7" s="51">
        <f>AI11</f>
        <v>0</v>
      </c>
      <c r="AQ7" s="51">
        <f>AI12</f>
        <v>0</v>
      </c>
      <c r="AR7" s="111">
        <f>AI14</f>
        <v>0</v>
      </c>
    </row>
    <row r="8" spans="1:44" s="15" customFormat="1" ht="18" customHeight="1">
      <c r="A8" s="5"/>
      <c r="B8" s="42" t="e">
        <f>_xlfn.XLOOKUP(A6,#REF!,#REF!)</f>
        <v>#REF!</v>
      </c>
      <c r="C8" s="13" t="s">
        <v>7</v>
      </c>
      <c r="D8" s="57">
        <v>8</v>
      </c>
      <c r="E8" s="58">
        <v>8</v>
      </c>
      <c r="F8" s="59">
        <v>8</v>
      </c>
      <c r="G8" s="59">
        <v>8</v>
      </c>
      <c r="H8" s="60">
        <v>8</v>
      </c>
      <c r="I8" s="59"/>
      <c r="J8" s="60"/>
      <c r="K8" s="59">
        <v>8</v>
      </c>
      <c r="L8" s="58">
        <v>8</v>
      </c>
      <c r="M8" s="59">
        <v>8</v>
      </c>
      <c r="N8" s="59">
        <v>8</v>
      </c>
      <c r="O8" s="59">
        <v>8</v>
      </c>
      <c r="P8" s="59"/>
      <c r="Q8" s="59"/>
      <c r="R8" s="59">
        <v>8</v>
      </c>
      <c r="S8" s="58">
        <v>8</v>
      </c>
      <c r="T8" s="59">
        <v>8</v>
      </c>
      <c r="U8" s="59">
        <v>8</v>
      </c>
      <c r="V8" s="59">
        <v>8</v>
      </c>
      <c r="W8" s="59"/>
      <c r="X8" s="59"/>
      <c r="Y8" s="59">
        <v>8</v>
      </c>
      <c r="Z8" s="58">
        <v>8</v>
      </c>
      <c r="AA8" s="59">
        <v>8</v>
      </c>
      <c r="AB8" s="59">
        <v>8</v>
      </c>
      <c r="AC8" s="59">
        <v>8</v>
      </c>
      <c r="AD8" s="59"/>
      <c r="AE8" s="59"/>
      <c r="AF8" s="59">
        <v>8</v>
      </c>
      <c r="AG8" s="58">
        <v>8</v>
      </c>
      <c r="AH8" s="58">
        <v>8</v>
      </c>
      <c r="AI8" s="353">
        <f t="shared" ref="AI8:AI14" si="2">SUM(D8:AH8)</f>
        <v>184</v>
      </c>
      <c r="AJ8" s="86">
        <f>AI8*1</f>
        <v>184</v>
      </c>
      <c r="AK8" s="14" t="s">
        <v>23</v>
      </c>
    </row>
    <row r="9" spans="1:44" s="15" customFormat="1" ht="18" customHeight="1">
      <c r="A9" s="5"/>
      <c r="B9" s="41" t="e">
        <f>_xlfn.XLOOKUP(A6,#REF!,#REF!)</f>
        <v>#REF!</v>
      </c>
      <c r="C9" s="16" t="s">
        <v>16</v>
      </c>
      <c r="D9" s="62"/>
      <c r="E9" s="63"/>
      <c r="F9" s="64"/>
      <c r="G9" s="64"/>
      <c r="H9" s="64"/>
      <c r="I9" s="64"/>
      <c r="J9" s="64"/>
      <c r="K9" s="64"/>
      <c r="L9" s="63"/>
      <c r="M9" s="64"/>
      <c r="N9" s="64"/>
      <c r="O9" s="64"/>
      <c r="P9" s="64"/>
      <c r="Q9" s="64"/>
      <c r="R9" s="64"/>
      <c r="S9" s="63"/>
      <c r="T9" s="64"/>
      <c r="U9" s="64"/>
      <c r="V9" s="64"/>
      <c r="W9" s="64"/>
      <c r="X9" s="64"/>
      <c r="Y9" s="64"/>
      <c r="Z9" s="63"/>
      <c r="AA9" s="64"/>
      <c r="AB9" s="64"/>
      <c r="AC9" s="64"/>
      <c r="AD9" s="64"/>
      <c r="AE9" s="64"/>
      <c r="AF9" s="64"/>
      <c r="AG9" s="63"/>
      <c r="AH9" s="63"/>
      <c r="AI9" s="354">
        <f t="shared" si="2"/>
        <v>0</v>
      </c>
      <c r="AJ9" s="88">
        <f>AI9*1.5</f>
        <v>0</v>
      </c>
      <c r="AK9" s="17" t="s">
        <v>24</v>
      </c>
    </row>
    <row r="10" spans="1:44" s="15" customFormat="1" ht="18" customHeight="1">
      <c r="A10" s="5"/>
      <c r="B10" s="132"/>
      <c r="C10" s="13" t="s">
        <v>50</v>
      </c>
      <c r="D10" s="57"/>
      <c r="E10" s="58"/>
      <c r="F10" s="59"/>
      <c r="G10" s="59"/>
      <c r="H10" s="59"/>
      <c r="I10" s="59"/>
      <c r="J10" s="59"/>
      <c r="K10" s="59"/>
      <c r="L10" s="58"/>
      <c r="M10" s="59"/>
      <c r="N10" s="59"/>
      <c r="O10" s="59"/>
      <c r="P10" s="59"/>
      <c r="Q10" s="59"/>
      <c r="R10" s="59"/>
      <c r="S10" s="58"/>
      <c r="T10" s="59"/>
      <c r="U10" s="59"/>
      <c r="V10" s="59"/>
      <c r="W10" s="59"/>
      <c r="X10" s="59"/>
      <c r="Y10" s="59"/>
      <c r="Z10" s="58"/>
      <c r="AA10" s="59"/>
      <c r="AB10" s="59"/>
      <c r="AC10" s="59"/>
      <c r="AD10" s="59"/>
      <c r="AE10" s="59"/>
      <c r="AF10" s="59"/>
      <c r="AG10" s="58"/>
      <c r="AH10" s="58"/>
      <c r="AI10" s="353">
        <f t="shared" si="2"/>
        <v>0</v>
      </c>
      <c r="AJ10" s="86">
        <f>AI10*1.5</f>
        <v>0</v>
      </c>
      <c r="AK10" s="14"/>
    </row>
    <row r="11" spans="1:44" s="15" customFormat="1" ht="18" customHeight="1">
      <c r="A11" s="5"/>
      <c r="B11" s="6"/>
      <c r="C11" s="18" t="s">
        <v>8</v>
      </c>
      <c r="D11" s="66"/>
      <c r="E11" s="67"/>
      <c r="F11" s="68"/>
      <c r="G11" s="68"/>
      <c r="H11" s="68"/>
      <c r="I11" s="68"/>
      <c r="J11" s="68"/>
      <c r="K11" s="68"/>
      <c r="L11" s="67"/>
      <c r="M11" s="68"/>
      <c r="N11" s="68"/>
      <c r="O11" s="68"/>
      <c r="P11" s="68"/>
      <c r="Q11" s="68"/>
      <c r="R11" s="68"/>
      <c r="S11" s="67"/>
      <c r="T11" s="68"/>
      <c r="U11" s="68"/>
      <c r="V11" s="68"/>
      <c r="W11" s="68"/>
      <c r="X11" s="68"/>
      <c r="Y11" s="68"/>
      <c r="Z11" s="67"/>
      <c r="AA11" s="68"/>
      <c r="AB11" s="68"/>
      <c r="AC11" s="68"/>
      <c r="AD11" s="68"/>
      <c r="AE11" s="68"/>
      <c r="AF11" s="68"/>
      <c r="AG11" s="67"/>
      <c r="AH11" s="67"/>
      <c r="AI11" s="355">
        <f t="shared" si="2"/>
        <v>0</v>
      </c>
      <c r="AJ11" s="91">
        <f>AI11*0.5</f>
        <v>0</v>
      </c>
      <c r="AK11" s="17"/>
    </row>
    <row r="12" spans="1:44" s="15" customFormat="1" ht="18" customHeight="1">
      <c r="A12" s="5"/>
      <c r="B12" s="6"/>
      <c r="C12" s="19" t="s">
        <v>3</v>
      </c>
      <c r="D12" s="70"/>
      <c r="E12" s="71"/>
      <c r="F12" s="72"/>
      <c r="G12" s="72"/>
      <c r="H12" s="72"/>
      <c r="I12" s="72"/>
      <c r="J12" s="72"/>
      <c r="K12" s="72"/>
      <c r="L12" s="71"/>
      <c r="M12" s="72"/>
      <c r="N12" s="72"/>
      <c r="O12" s="72"/>
      <c r="P12" s="72"/>
      <c r="Q12" s="72"/>
      <c r="R12" s="72"/>
      <c r="S12" s="71"/>
      <c r="T12" s="72"/>
      <c r="U12" s="72"/>
      <c r="V12" s="72"/>
      <c r="W12" s="72"/>
      <c r="X12" s="72"/>
      <c r="Y12" s="72"/>
      <c r="Z12" s="71"/>
      <c r="AA12" s="72"/>
      <c r="AB12" s="72"/>
      <c r="AC12" s="72"/>
      <c r="AD12" s="72"/>
      <c r="AE12" s="72"/>
      <c r="AF12" s="72"/>
      <c r="AG12" s="71"/>
      <c r="AH12" s="71"/>
      <c r="AI12" s="356">
        <f t="shared" si="2"/>
        <v>0</v>
      </c>
      <c r="AJ12" s="93">
        <f>AI12*1.5</f>
        <v>0</v>
      </c>
      <c r="AK12" s="17"/>
    </row>
    <row r="13" spans="1:44" s="15" customFormat="1" ht="18" customHeight="1">
      <c r="A13" s="5"/>
      <c r="B13" s="41"/>
      <c r="C13" s="34" t="s">
        <v>46</v>
      </c>
      <c r="D13" s="74"/>
      <c r="E13" s="75"/>
      <c r="F13" s="76"/>
      <c r="G13" s="76"/>
      <c r="H13" s="76"/>
      <c r="I13" s="76"/>
      <c r="J13" s="76">
        <v>8</v>
      </c>
      <c r="K13" s="76"/>
      <c r="L13" s="75"/>
      <c r="M13" s="76"/>
      <c r="N13" s="76"/>
      <c r="O13" s="76"/>
      <c r="P13" s="76"/>
      <c r="Q13" s="76">
        <v>8</v>
      </c>
      <c r="R13" s="76"/>
      <c r="S13" s="75"/>
      <c r="T13" s="76"/>
      <c r="U13" s="76"/>
      <c r="V13" s="76"/>
      <c r="W13" s="76"/>
      <c r="X13" s="76">
        <v>8</v>
      </c>
      <c r="Y13" s="76"/>
      <c r="Z13" s="75"/>
      <c r="AA13" s="76"/>
      <c r="AB13" s="76"/>
      <c r="AC13" s="76"/>
      <c r="AD13" s="76"/>
      <c r="AE13" s="76">
        <v>8</v>
      </c>
      <c r="AF13" s="76"/>
      <c r="AG13" s="75"/>
      <c r="AH13" s="75"/>
      <c r="AI13" s="357">
        <f t="shared" si="2"/>
        <v>32</v>
      </c>
      <c r="AJ13" s="95">
        <f>AI13*1</f>
        <v>32</v>
      </c>
      <c r="AK13" s="17"/>
    </row>
    <row r="14" spans="1:44" s="15" customFormat="1" ht="18" customHeight="1">
      <c r="A14" s="38"/>
      <c r="B14" s="43"/>
      <c r="C14" s="35" t="s">
        <v>47</v>
      </c>
      <c r="D14" s="78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80"/>
      <c r="AF14" s="79"/>
      <c r="AG14" s="79"/>
      <c r="AH14" s="79"/>
      <c r="AI14" s="356">
        <f t="shared" si="2"/>
        <v>0</v>
      </c>
      <c r="AJ14" s="93">
        <f>AI14*1</f>
        <v>0</v>
      </c>
      <c r="AK14" s="20"/>
    </row>
    <row r="15" spans="1:44" s="111" customFormat="1" ht="18" customHeight="1">
      <c r="A15" s="21">
        <f>A6+1</f>
        <v>2</v>
      </c>
      <c r="B15" s="41" t="e">
        <f>_xlfn.XLOOKUP(A15,#REF!,#REF!)</f>
        <v>#REF!</v>
      </c>
      <c r="C15" s="22" t="s">
        <v>9</v>
      </c>
      <c r="D15" s="53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96"/>
      <c r="AJ15" s="97"/>
      <c r="AK15" s="524">
        <f>COUNT(D15:AH15)</f>
        <v>0</v>
      </c>
      <c r="AL15" s="111" t="str">
        <f>C17</f>
        <v>기본근로</v>
      </c>
      <c r="AM15" s="111" t="str">
        <f>C22</f>
        <v>주휴일</v>
      </c>
      <c r="AN15" s="111" t="str">
        <f>C18</f>
        <v>고정연장</v>
      </c>
      <c r="AO15" s="111" t="str">
        <f>C19</f>
        <v>특별연장</v>
      </c>
      <c r="AP15" s="111" t="str">
        <f>C20</f>
        <v>야간근로</v>
      </c>
      <c r="AQ15" s="111" t="str">
        <f>C21</f>
        <v>휴일근로</v>
      </c>
      <c r="AR15" s="111" t="str">
        <f>C23</f>
        <v>연차휴가</v>
      </c>
    </row>
    <row r="16" spans="1:44" s="111" customFormat="1" ht="18" customHeight="1">
      <c r="A16" s="45"/>
      <c r="B16" s="41" t="e">
        <f>_xlfn.XLOOKUP(A15,#REF!,#REF!)</f>
        <v>#REF!</v>
      </c>
      <c r="C16" s="9" t="s">
        <v>10</v>
      </c>
      <c r="D16" s="52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98"/>
      <c r="AJ16" s="99"/>
      <c r="AK16" s="523"/>
      <c r="AL16" s="51">
        <f>AI17</f>
        <v>0</v>
      </c>
      <c r="AM16" s="51">
        <f>AI22</f>
        <v>0</v>
      </c>
      <c r="AN16" s="51">
        <f>AI18</f>
        <v>0</v>
      </c>
      <c r="AO16" s="51">
        <f>AI19</f>
        <v>0</v>
      </c>
      <c r="AP16" s="51">
        <f>AI20</f>
        <v>0</v>
      </c>
      <c r="AQ16" s="51">
        <f>AI21</f>
        <v>0</v>
      </c>
      <c r="AR16" s="111">
        <f>AI23</f>
        <v>0</v>
      </c>
    </row>
    <row r="17" spans="1:44" s="15" customFormat="1" ht="18" customHeight="1">
      <c r="A17" s="5"/>
      <c r="B17" s="42" t="e">
        <f>_xlfn.XLOOKUP(A15,#REF!,#REF!)</f>
        <v>#REF!</v>
      </c>
      <c r="C17" s="13" t="s">
        <v>7</v>
      </c>
      <c r="D17" s="57"/>
      <c r="E17" s="58"/>
      <c r="F17" s="59"/>
      <c r="G17" s="59"/>
      <c r="H17" s="60"/>
      <c r="I17" s="59"/>
      <c r="J17" s="60"/>
      <c r="K17" s="59"/>
      <c r="L17" s="58"/>
      <c r="M17" s="59"/>
      <c r="N17" s="59"/>
      <c r="O17" s="59"/>
      <c r="P17" s="59"/>
      <c r="Q17" s="59"/>
      <c r="R17" s="59"/>
      <c r="S17" s="58"/>
      <c r="T17" s="59"/>
      <c r="U17" s="59"/>
      <c r="V17" s="59"/>
      <c r="W17" s="59"/>
      <c r="X17" s="59"/>
      <c r="Y17" s="59"/>
      <c r="Z17" s="58"/>
      <c r="AA17" s="59"/>
      <c r="AB17" s="59"/>
      <c r="AC17" s="59"/>
      <c r="AD17" s="59"/>
      <c r="AE17" s="59"/>
      <c r="AF17" s="59"/>
      <c r="AG17" s="58"/>
      <c r="AH17" s="58"/>
      <c r="AI17" s="89">
        <f t="shared" ref="AI17:AI23" si="3">SUM(D17:AH17)</f>
        <v>0</v>
      </c>
      <c r="AJ17" s="86">
        <f>AI17*1</f>
        <v>0</v>
      </c>
      <c r="AK17" s="14" t="s">
        <v>23</v>
      </c>
    </row>
    <row r="18" spans="1:44" s="15" customFormat="1" ht="18" customHeight="1">
      <c r="A18" s="5"/>
      <c r="B18" s="41" t="e">
        <f>_xlfn.XLOOKUP(A15,#REF!,#REF!)</f>
        <v>#REF!</v>
      </c>
      <c r="C18" s="16" t="s">
        <v>16</v>
      </c>
      <c r="D18" s="62"/>
      <c r="E18" s="63"/>
      <c r="F18" s="64"/>
      <c r="G18" s="64"/>
      <c r="H18" s="64"/>
      <c r="I18" s="64"/>
      <c r="J18" s="64"/>
      <c r="K18" s="64"/>
      <c r="L18" s="63"/>
      <c r="M18" s="64"/>
      <c r="N18" s="64"/>
      <c r="O18" s="64"/>
      <c r="P18" s="64"/>
      <c r="Q18" s="64"/>
      <c r="R18" s="64"/>
      <c r="S18" s="63"/>
      <c r="T18" s="64"/>
      <c r="U18" s="64"/>
      <c r="V18" s="64"/>
      <c r="W18" s="64"/>
      <c r="X18" s="64"/>
      <c r="Y18" s="64"/>
      <c r="Z18" s="63"/>
      <c r="AA18" s="64"/>
      <c r="AB18" s="64"/>
      <c r="AC18" s="64"/>
      <c r="AD18" s="64"/>
      <c r="AE18" s="64"/>
      <c r="AF18" s="64"/>
      <c r="AG18" s="63"/>
      <c r="AH18" s="63"/>
      <c r="AI18" s="100">
        <f t="shared" si="3"/>
        <v>0</v>
      </c>
      <c r="AJ18" s="88">
        <f>AI18*1.5</f>
        <v>0</v>
      </c>
      <c r="AK18" s="17" t="s">
        <v>24</v>
      </c>
    </row>
    <row r="19" spans="1:44" s="15" customFormat="1" ht="18" customHeight="1">
      <c r="A19" s="5"/>
      <c r="B19" s="132"/>
      <c r="C19" s="13" t="s">
        <v>50</v>
      </c>
      <c r="D19" s="57"/>
      <c r="E19" s="58"/>
      <c r="F19" s="59"/>
      <c r="G19" s="59"/>
      <c r="H19" s="59"/>
      <c r="I19" s="59"/>
      <c r="J19" s="59"/>
      <c r="K19" s="59"/>
      <c r="L19" s="58"/>
      <c r="M19" s="59"/>
      <c r="N19" s="59"/>
      <c r="O19" s="59"/>
      <c r="P19" s="59"/>
      <c r="Q19" s="59"/>
      <c r="R19" s="59"/>
      <c r="S19" s="58"/>
      <c r="T19" s="59"/>
      <c r="U19" s="59"/>
      <c r="V19" s="59"/>
      <c r="W19" s="59"/>
      <c r="X19" s="59"/>
      <c r="Y19" s="59"/>
      <c r="Z19" s="58"/>
      <c r="AA19" s="59"/>
      <c r="AB19" s="59"/>
      <c r="AC19" s="58"/>
      <c r="AD19" s="59"/>
      <c r="AE19" s="59"/>
      <c r="AF19" s="59"/>
      <c r="AG19" s="58"/>
      <c r="AH19" s="58"/>
      <c r="AI19" s="89">
        <f t="shared" si="3"/>
        <v>0</v>
      </c>
      <c r="AJ19" s="86">
        <f>AI19*1.5</f>
        <v>0</v>
      </c>
      <c r="AK19" s="14"/>
    </row>
    <row r="20" spans="1:44" s="15" customFormat="1" ht="18" customHeight="1">
      <c r="A20" s="5"/>
      <c r="B20" s="54"/>
      <c r="C20" s="18" t="s">
        <v>8</v>
      </c>
      <c r="D20" s="66"/>
      <c r="E20" s="67"/>
      <c r="F20" s="68"/>
      <c r="G20" s="68"/>
      <c r="H20" s="68"/>
      <c r="I20" s="68"/>
      <c r="J20" s="68"/>
      <c r="K20" s="68"/>
      <c r="L20" s="67"/>
      <c r="M20" s="68"/>
      <c r="N20" s="68"/>
      <c r="O20" s="68"/>
      <c r="P20" s="68"/>
      <c r="Q20" s="68"/>
      <c r="R20" s="68"/>
      <c r="S20" s="67"/>
      <c r="T20" s="68"/>
      <c r="U20" s="68"/>
      <c r="V20" s="68"/>
      <c r="W20" s="68"/>
      <c r="X20" s="68"/>
      <c r="Y20" s="68"/>
      <c r="Z20" s="67"/>
      <c r="AA20" s="68"/>
      <c r="AB20" s="68"/>
      <c r="AC20" s="67"/>
      <c r="AD20" s="68"/>
      <c r="AE20" s="68"/>
      <c r="AF20" s="68"/>
      <c r="AG20" s="67"/>
      <c r="AH20" s="67"/>
      <c r="AI20" s="90">
        <f t="shared" si="3"/>
        <v>0</v>
      </c>
      <c r="AJ20" s="91">
        <f>AI20*0.5</f>
        <v>0</v>
      </c>
      <c r="AK20" s="17"/>
    </row>
    <row r="21" spans="1:44" s="15" customFormat="1" ht="18" customHeight="1">
      <c r="A21" s="5"/>
      <c r="B21" s="6"/>
      <c r="C21" s="19" t="s">
        <v>3</v>
      </c>
      <c r="D21" s="70"/>
      <c r="E21" s="71"/>
      <c r="F21" s="72"/>
      <c r="G21" s="72"/>
      <c r="H21" s="72"/>
      <c r="I21" s="72"/>
      <c r="J21" s="72"/>
      <c r="K21" s="72"/>
      <c r="L21" s="71"/>
      <c r="M21" s="72"/>
      <c r="N21" s="72"/>
      <c r="O21" s="72"/>
      <c r="P21" s="72"/>
      <c r="Q21" s="72"/>
      <c r="R21" s="72"/>
      <c r="S21" s="71"/>
      <c r="T21" s="72"/>
      <c r="U21" s="72"/>
      <c r="V21" s="72"/>
      <c r="W21" s="72"/>
      <c r="X21" s="72"/>
      <c r="Y21" s="72"/>
      <c r="Z21" s="71"/>
      <c r="AA21" s="72"/>
      <c r="AB21" s="72"/>
      <c r="AC21" s="71"/>
      <c r="AD21" s="72"/>
      <c r="AE21" s="72"/>
      <c r="AF21" s="72"/>
      <c r="AG21" s="71"/>
      <c r="AH21" s="71"/>
      <c r="AI21" s="92">
        <f t="shared" si="3"/>
        <v>0</v>
      </c>
      <c r="AJ21" s="93">
        <f>AI21*1.5</f>
        <v>0</v>
      </c>
      <c r="AK21" s="17"/>
    </row>
    <row r="22" spans="1:44" s="15" customFormat="1" ht="18" customHeight="1">
      <c r="A22" s="5"/>
      <c r="B22" s="41"/>
      <c r="C22" s="34" t="s">
        <v>46</v>
      </c>
      <c r="D22" s="74"/>
      <c r="E22" s="75"/>
      <c r="F22" s="76"/>
      <c r="G22" s="76"/>
      <c r="H22" s="76"/>
      <c r="I22" s="76"/>
      <c r="J22" s="76"/>
      <c r="K22" s="76"/>
      <c r="L22" s="75"/>
      <c r="M22" s="76"/>
      <c r="N22" s="76"/>
      <c r="O22" s="76"/>
      <c r="P22" s="76"/>
      <c r="Q22" s="76"/>
      <c r="R22" s="76"/>
      <c r="S22" s="75"/>
      <c r="T22" s="76"/>
      <c r="U22" s="76"/>
      <c r="V22" s="76"/>
      <c r="W22" s="76"/>
      <c r="X22" s="76"/>
      <c r="Y22" s="76"/>
      <c r="Z22" s="75"/>
      <c r="AA22" s="76"/>
      <c r="AB22" s="76"/>
      <c r="AC22" s="75"/>
      <c r="AD22" s="76"/>
      <c r="AE22" s="76"/>
      <c r="AF22" s="76"/>
      <c r="AG22" s="75"/>
      <c r="AH22" s="75"/>
      <c r="AI22" s="94">
        <f t="shared" si="3"/>
        <v>0</v>
      </c>
      <c r="AJ22" s="95">
        <f>AI22*1</f>
        <v>0</v>
      </c>
      <c r="AK22" s="17"/>
    </row>
    <row r="23" spans="1:44" s="15" customFormat="1" ht="18" customHeight="1">
      <c r="A23" s="38"/>
      <c r="B23" s="43"/>
      <c r="C23" s="35" t="s">
        <v>47</v>
      </c>
      <c r="D23" s="78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80"/>
      <c r="AF23" s="79"/>
      <c r="AG23" s="79"/>
      <c r="AH23" s="79"/>
      <c r="AI23" s="92">
        <f t="shared" si="3"/>
        <v>0</v>
      </c>
      <c r="AJ23" s="93">
        <f>AI23*1</f>
        <v>0</v>
      </c>
      <c r="AK23" s="20"/>
    </row>
    <row r="24" spans="1:44" s="111" customFormat="1" ht="18" customHeight="1">
      <c r="A24" s="21">
        <f>A15+1</f>
        <v>3</v>
      </c>
      <c r="B24" s="41" t="e">
        <f>_xlfn.XLOOKUP(A24,#REF!,#REF!)</f>
        <v>#REF!</v>
      </c>
      <c r="C24" s="22" t="s">
        <v>9</v>
      </c>
      <c r="D24" s="53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96"/>
      <c r="AJ24" s="97"/>
      <c r="AK24" s="524">
        <f>COUNT(D24:AH24)</f>
        <v>0</v>
      </c>
      <c r="AL24" s="111" t="str">
        <f>C26</f>
        <v>기본근로</v>
      </c>
      <c r="AM24" s="111" t="str">
        <f>C31</f>
        <v>주휴일</v>
      </c>
      <c r="AN24" s="111" t="str">
        <f>C27</f>
        <v>고정연장</v>
      </c>
      <c r="AO24" s="111" t="str">
        <f>C28</f>
        <v>특별연장</v>
      </c>
      <c r="AP24" s="111" t="str">
        <f>C29</f>
        <v>야간근로</v>
      </c>
      <c r="AQ24" s="111" t="str">
        <f>C30</f>
        <v>휴일근로</v>
      </c>
      <c r="AR24" s="111" t="str">
        <f>C32</f>
        <v>연차휴가</v>
      </c>
    </row>
    <row r="25" spans="1:44" s="111" customFormat="1" ht="18" customHeight="1">
      <c r="A25" s="45"/>
      <c r="B25" s="41" t="e">
        <f>_xlfn.XLOOKUP(A24,#REF!,#REF!)</f>
        <v>#REF!</v>
      </c>
      <c r="C25" s="9" t="s">
        <v>10</v>
      </c>
      <c r="D25" s="52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98"/>
      <c r="AJ25" s="99"/>
      <c r="AK25" s="523"/>
      <c r="AL25" s="51">
        <f>AI26</f>
        <v>0</v>
      </c>
      <c r="AM25" s="51">
        <f>AI31</f>
        <v>0</v>
      </c>
      <c r="AN25" s="51">
        <f>AI27</f>
        <v>0</v>
      </c>
      <c r="AO25" s="51">
        <f>AI28</f>
        <v>0</v>
      </c>
      <c r="AP25" s="51">
        <f>AI29</f>
        <v>0</v>
      </c>
      <c r="AQ25" s="51">
        <f>AI30</f>
        <v>0</v>
      </c>
      <c r="AR25" s="111">
        <f>AI32</f>
        <v>0</v>
      </c>
    </row>
    <row r="26" spans="1:44" s="15" customFormat="1" ht="18" customHeight="1">
      <c r="A26" s="5"/>
      <c r="B26" s="42" t="e">
        <f>_xlfn.XLOOKUP(A24,#REF!,#REF!)</f>
        <v>#REF!</v>
      </c>
      <c r="C26" s="13" t="s">
        <v>7</v>
      </c>
      <c r="D26" s="57"/>
      <c r="E26" s="58"/>
      <c r="F26" s="59"/>
      <c r="G26" s="59"/>
      <c r="H26" s="60"/>
      <c r="I26" s="59"/>
      <c r="J26" s="60"/>
      <c r="K26" s="59"/>
      <c r="L26" s="58"/>
      <c r="M26" s="59"/>
      <c r="N26" s="59"/>
      <c r="O26" s="59"/>
      <c r="P26" s="59"/>
      <c r="Q26" s="59"/>
      <c r="R26" s="59"/>
      <c r="S26" s="58"/>
      <c r="T26" s="59"/>
      <c r="U26" s="59"/>
      <c r="V26" s="59"/>
      <c r="W26" s="59"/>
      <c r="X26" s="59"/>
      <c r="Y26" s="59"/>
      <c r="Z26" s="58"/>
      <c r="AA26" s="59"/>
      <c r="AB26" s="59"/>
      <c r="AC26" s="59"/>
      <c r="AD26" s="59"/>
      <c r="AE26" s="59"/>
      <c r="AF26" s="59"/>
      <c r="AG26" s="58"/>
      <c r="AH26" s="58"/>
      <c r="AI26" s="89">
        <f t="shared" ref="AI26:AI32" si="4">SUM(D26:AH26)</f>
        <v>0</v>
      </c>
      <c r="AJ26" s="86">
        <f>AI26*1</f>
        <v>0</v>
      </c>
      <c r="AK26" s="14" t="s">
        <v>23</v>
      </c>
    </row>
    <row r="27" spans="1:44" s="15" customFormat="1" ht="18" customHeight="1">
      <c r="A27" s="5"/>
      <c r="B27" s="41" t="e">
        <f>_xlfn.XLOOKUP(A24,#REF!,#REF!)</f>
        <v>#REF!</v>
      </c>
      <c r="C27" s="16" t="s">
        <v>16</v>
      </c>
      <c r="D27" s="62"/>
      <c r="E27" s="63"/>
      <c r="F27" s="64"/>
      <c r="G27" s="64"/>
      <c r="H27" s="64"/>
      <c r="I27" s="64"/>
      <c r="J27" s="64"/>
      <c r="K27" s="64"/>
      <c r="L27" s="63"/>
      <c r="M27" s="64"/>
      <c r="N27" s="64"/>
      <c r="O27" s="64"/>
      <c r="P27" s="64"/>
      <c r="Q27" s="64"/>
      <c r="R27" s="64"/>
      <c r="S27" s="63"/>
      <c r="T27" s="64"/>
      <c r="U27" s="64"/>
      <c r="V27" s="64"/>
      <c r="W27" s="64"/>
      <c r="X27" s="64"/>
      <c r="Y27" s="64"/>
      <c r="Z27" s="63"/>
      <c r="AA27" s="64"/>
      <c r="AB27" s="64"/>
      <c r="AC27" s="64"/>
      <c r="AD27" s="64"/>
      <c r="AE27" s="64"/>
      <c r="AF27" s="64"/>
      <c r="AG27" s="63"/>
      <c r="AH27" s="63"/>
      <c r="AI27" s="100">
        <f t="shared" si="4"/>
        <v>0</v>
      </c>
      <c r="AJ27" s="88">
        <f>AI27*1.5</f>
        <v>0</v>
      </c>
      <c r="AK27" s="17" t="s">
        <v>24</v>
      </c>
    </row>
    <row r="28" spans="1:44" s="15" customFormat="1" ht="18" customHeight="1">
      <c r="A28" s="5"/>
      <c r="B28" s="132"/>
      <c r="C28" s="13" t="s">
        <v>50</v>
      </c>
      <c r="D28" s="57"/>
      <c r="E28" s="58"/>
      <c r="F28" s="59"/>
      <c r="G28" s="59"/>
      <c r="H28" s="59"/>
      <c r="I28" s="59"/>
      <c r="J28" s="59"/>
      <c r="K28" s="59"/>
      <c r="L28" s="58"/>
      <c r="M28" s="59"/>
      <c r="N28" s="59"/>
      <c r="O28" s="59"/>
      <c r="P28" s="59"/>
      <c r="Q28" s="59"/>
      <c r="R28" s="59"/>
      <c r="S28" s="58"/>
      <c r="T28" s="59"/>
      <c r="U28" s="59"/>
      <c r="V28" s="59"/>
      <c r="W28" s="59"/>
      <c r="X28" s="59"/>
      <c r="Y28" s="59"/>
      <c r="Z28" s="58"/>
      <c r="AA28" s="59"/>
      <c r="AB28" s="59"/>
      <c r="AC28" s="58"/>
      <c r="AD28" s="59"/>
      <c r="AE28" s="59"/>
      <c r="AF28" s="59"/>
      <c r="AG28" s="58"/>
      <c r="AH28" s="58"/>
      <c r="AI28" s="89">
        <f t="shared" si="4"/>
        <v>0</v>
      </c>
      <c r="AJ28" s="86">
        <f>AI28*1.5</f>
        <v>0</v>
      </c>
      <c r="AK28" s="14"/>
    </row>
    <row r="29" spans="1:44" s="15" customFormat="1" ht="18" customHeight="1">
      <c r="A29" s="5"/>
      <c r="B29" s="54"/>
      <c r="C29" s="18" t="s">
        <v>8</v>
      </c>
      <c r="D29" s="66"/>
      <c r="E29" s="67"/>
      <c r="F29" s="68"/>
      <c r="G29" s="68"/>
      <c r="H29" s="68"/>
      <c r="I29" s="68"/>
      <c r="J29" s="68"/>
      <c r="K29" s="68"/>
      <c r="L29" s="67"/>
      <c r="M29" s="68"/>
      <c r="N29" s="68"/>
      <c r="O29" s="68"/>
      <c r="P29" s="68"/>
      <c r="Q29" s="68"/>
      <c r="R29" s="68"/>
      <c r="S29" s="67"/>
      <c r="T29" s="68"/>
      <c r="U29" s="68"/>
      <c r="V29" s="68"/>
      <c r="W29" s="68"/>
      <c r="X29" s="68"/>
      <c r="Y29" s="68"/>
      <c r="Z29" s="67"/>
      <c r="AA29" s="68"/>
      <c r="AB29" s="68"/>
      <c r="AC29" s="67"/>
      <c r="AD29" s="68"/>
      <c r="AE29" s="68"/>
      <c r="AF29" s="68"/>
      <c r="AG29" s="67"/>
      <c r="AH29" s="67"/>
      <c r="AI29" s="90">
        <f t="shared" si="4"/>
        <v>0</v>
      </c>
      <c r="AJ29" s="91">
        <f>AI29*0.5</f>
        <v>0</v>
      </c>
      <c r="AK29" s="17"/>
    </row>
    <row r="30" spans="1:44" s="15" customFormat="1" ht="18" customHeight="1">
      <c r="A30" s="5"/>
      <c r="B30" s="6"/>
      <c r="C30" s="19" t="s">
        <v>3</v>
      </c>
      <c r="D30" s="70"/>
      <c r="E30" s="71"/>
      <c r="F30" s="72"/>
      <c r="G30" s="72"/>
      <c r="H30" s="72"/>
      <c r="I30" s="72"/>
      <c r="J30" s="72"/>
      <c r="K30" s="72"/>
      <c r="L30" s="71"/>
      <c r="M30" s="72"/>
      <c r="N30" s="72"/>
      <c r="O30" s="72"/>
      <c r="P30" s="72"/>
      <c r="Q30" s="72"/>
      <c r="R30" s="72"/>
      <c r="S30" s="71"/>
      <c r="T30" s="72"/>
      <c r="U30" s="72"/>
      <c r="V30" s="72"/>
      <c r="W30" s="72"/>
      <c r="X30" s="72"/>
      <c r="Y30" s="72"/>
      <c r="Z30" s="71"/>
      <c r="AA30" s="72"/>
      <c r="AB30" s="72"/>
      <c r="AC30" s="71"/>
      <c r="AD30" s="72"/>
      <c r="AE30" s="72"/>
      <c r="AF30" s="72"/>
      <c r="AG30" s="71"/>
      <c r="AH30" s="71"/>
      <c r="AI30" s="92">
        <f t="shared" si="4"/>
        <v>0</v>
      </c>
      <c r="AJ30" s="93">
        <f>AI30*1.5</f>
        <v>0</v>
      </c>
      <c r="AK30" s="17"/>
    </row>
    <row r="31" spans="1:44" s="15" customFormat="1" ht="18" customHeight="1">
      <c r="A31" s="5"/>
      <c r="B31" s="41"/>
      <c r="C31" s="34" t="s">
        <v>46</v>
      </c>
      <c r="D31" s="74"/>
      <c r="E31" s="75"/>
      <c r="F31" s="76"/>
      <c r="G31" s="76"/>
      <c r="H31" s="76"/>
      <c r="I31" s="76"/>
      <c r="J31" s="76"/>
      <c r="K31" s="76"/>
      <c r="L31" s="75"/>
      <c r="M31" s="76"/>
      <c r="N31" s="76"/>
      <c r="O31" s="76"/>
      <c r="P31" s="76"/>
      <c r="Q31" s="76"/>
      <c r="R31" s="76"/>
      <c r="S31" s="75"/>
      <c r="T31" s="76"/>
      <c r="U31" s="76"/>
      <c r="V31" s="76"/>
      <c r="W31" s="76"/>
      <c r="X31" s="76"/>
      <c r="Y31" s="76"/>
      <c r="Z31" s="75"/>
      <c r="AA31" s="76"/>
      <c r="AB31" s="76"/>
      <c r="AC31" s="75"/>
      <c r="AD31" s="76"/>
      <c r="AE31" s="76"/>
      <c r="AF31" s="76"/>
      <c r="AG31" s="75"/>
      <c r="AH31" s="75"/>
      <c r="AI31" s="94">
        <f t="shared" si="4"/>
        <v>0</v>
      </c>
      <c r="AJ31" s="95">
        <f>AI31*1</f>
        <v>0</v>
      </c>
      <c r="AK31" s="17"/>
    </row>
    <row r="32" spans="1:44" s="15" customFormat="1" ht="18" customHeight="1">
      <c r="A32" s="38"/>
      <c r="B32" s="43"/>
      <c r="C32" s="35" t="s">
        <v>47</v>
      </c>
      <c r="D32" s="78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80"/>
      <c r="AF32" s="79"/>
      <c r="AG32" s="79"/>
      <c r="AH32" s="79"/>
      <c r="AI32" s="92">
        <f t="shared" si="4"/>
        <v>0</v>
      </c>
      <c r="AJ32" s="93">
        <f>AI32*1</f>
        <v>0</v>
      </c>
      <c r="AK32" s="20"/>
    </row>
    <row r="33" spans="1:44" s="111" customFormat="1" ht="18" customHeight="1">
      <c r="A33" s="21">
        <f>A24+1</f>
        <v>4</v>
      </c>
      <c r="B33" s="41" t="e">
        <f>_xlfn.XLOOKUP(A33,#REF!,#REF!)</f>
        <v>#REF!</v>
      </c>
      <c r="C33" s="22" t="s">
        <v>9</v>
      </c>
      <c r="D33" s="13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96"/>
      <c r="AJ33" s="97"/>
      <c r="AK33" s="524">
        <f>COUNT(D33:AH33)</f>
        <v>0</v>
      </c>
      <c r="AL33" s="111" t="str">
        <f>C35</f>
        <v>기본근로</v>
      </c>
      <c r="AM33" s="111" t="str">
        <f>C40</f>
        <v>주휴일</v>
      </c>
      <c r="AN33" s="111" t="str">
        <f>C36</f>
        <v>고정연장</v>
      </c>
      <c r="AO33" s="111" t="str">
        <f>C37</f>
        <v>특별연장</v>
      </c>
      <c r="AP33" s="111" t="str">
        <f>C38</f>
        <v>야간근로</v>
      </c>
      <c r="AQ33" s="111" t="str">
        <f>C39</f>
        <v>휴일근로</v>
      </c>
      <c r="AR33" s="111" t="str">
        <f>C41</f>
        <v>연차휴가</v>
      </c>
    </row>
    <row r="34" spans="1:44" s="111" customFormat="1" ht="18" customHeight="1">
      <c r="A34" s="45"/>
      <c r="B34" s="41" t="e">
        <f>_xlfn.XLOOKUP(A33,#REF!,#REF!)</f>
        <v>#REF!</v>
      </c>
      <c r="C34" s="9" t="s">
        <v>10</v>
      </c>
      <c r="D34" s="52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98"/>
      <c r="AJ34" s="99"/>
      <c r="AK34" s="523"/>
      <c r="AL34" s="51">
        <f>AI35</f>
        <v>0</v>
      </c>
      <c r="AM34" s="51">
        <f>AI40</f>
        <v>0</v>
      </c>
      <c r="AN34" s="51">
        <f>AI36</f>
        <v>0</v>
      </c>
      <c r="AO34" s="51">
        <f>AI37</f>
        <v>0</v>
      </c>
      <c r="AP34" s="51">
        <f>AI38</f>
        <v>0</v>
      </c>
      <c r="AQ34" s="51">
        <f>AI39</f>
        <v>0</v>
      </c>
      <c r="AR34" s="111">
        <f>AI41</f>
        <v>0</v>
      </c>
    </row>
    <row r="35" spans="1:44" s="15" customFormat="1" ht="18" customHeight="1">
      <c r="A35" s="5"/>
      <c r="B35" s="42" t="e">
        <f>_xlfn.XLOOKUP(A33,#REF!,#REF!)</f>
        <v>#REF!</v>
      </c>
      <c r="C35" s="13" t="s">
        <v>7</v>
      </c>
      <c r="D35" s="57"/>
      <c r="E35" s="58"/>
      <c r="F35" s="59"/>
      <c r="G35" s="59"/>
      <c r="H35" s="60"/>
      <c r="I35" s="59"/>
      <c r="J35" s="60"/>
      <c r="K35" s="59"/>
      <c r="L35" s="58"/>
      <c r="M35" s="59"/>
      <c r="N35" s="59"/>
      <c r="O35" s="59"/>
      <c r="P35" s="59"/>
      <c r="Q35" s="59"/>
      <c r="R35" s="59"/>
      <c r="S35" s="58"/>
      <c r="T35" s="59"/>
      <c r="U35" s="59"/>
      <c r="V35" s="59"/>
      <c r="W35" s="59"/>
      <c r="X35" s="59"/>
      <c r="Y35" s="59"/>
      <c r="Z35" s="58"/>
      <c r="AA35" s="59"/>
      <c r="AB35" s="59"/>
      <c r="AC35" s="59"/>
      <c r="AD35" s="59"/>
      <c r="AE35" s="59"/>
      <c r="AF35" s="59"/>
      <c r="AG35" s="58"/>
      <c r="AH35" s="58"/>
      <c r="AI35" s="89">
        <f t="shared" ref="AI35:AI41" si="5">SUM(D35:AH35)</f>
        <v>0</v>
      </c>
      <c r="AJ35" s="86">
        <f>AI35*1</f>
        <v>0</v>
      </c>
      <c r="AK35" s="14" t="s">
        <v>23</v>
      </c>
    </row>
    <row r="36" spans="1:44" s="15" customFormat="1" ht="18" customHeight="1">
      <c r="A36" s="5"/>
      <c r="B36" s="41" t="e">
        <f>_xlfn.XLOOKUP(A33,#REF!,#REF!)</f>
        <v>#REF!</v>
      </c>
      <c r="C36" s="16" t="s">
        <v>16</v>
      </c>
      <c r="D36" s="62"/>
      <c r="E36" s="63"/>
      <c r="F36" s="64"/>
      <c r="G36" s="64"/>
      <c r="H36" s="64"/>
      <c r="I36" s="64"/>
      <c r="J36" s="64"/>
      <c r="K36" s="64"/>
      <c r="L36" s="63"/>
      <c r="M36" s="64"/>
      <c r="N36" s="64"/>
      <c r="O36" s="64"/>
      <c r="P36" s="64"/>
      <c r="Q36" s="64"/>
      <c r="R36" s="64"/>
      <c r="S36" s="63"/>
      <c r="T36" s="64"/>
      <c r="U36" s="64"/>
      <c r="V36" s="64"/>
      <c r="W36" s="64"/>
      <c r="X36" s="64"/>
      <c r="Y36" s="64"/>
      <c r="Z36" s="63"/>
      <c r="AA36" s="64"/>
      <c r="AB36" s="64"/>
      <c r="AC36" s="64"/>
      <c r="AD36" s="64"/>
      <c r="AE36" s="64"/>
      <c r="AF36" s="64"/>
      <c r="AG36" s="63"/>
      <c r="AH36" s="63"/>
      <c r="AI36" s="100">
        <f t="shared" si="5"/>
        <v>0</v>
      </c>
      <c r="AJ36" s="88">
        <f>AI36*1.5</f>
        <v>0</v>
      </c>
      <c r="AK36" s="17" t="s">
        <v>24</v>
      </c>
    </row>
    <row r="37" spans="1:44" s="15" customFormat="1" ht="18" customHeight="1">
      <c r="A37" s="5"/>
      <c r="B37" s="132"/>
      <c r="C37" s="13" t="s">
        <v>50</v>
      </c>
      <c r="D37" s="57"/>
      <c r="E37" s="58"/>
      <c r="F37" s="59"/>
      <c r="G37" s="59"/>
      <c r="H37" s="59"/>
      <c r="I37" s="59"/>
      <c r="J37" s="59"/>
      <c r="K37" s="59"/>
      <c r="L37" s="58"/>
      <c r="M37" s="59"/>
      <c r="N37" s="59"/>
      <c r="O37" s="59"/>
      <c r="P37" s="59"/>
      <c r="Q37" s="59"/>
      <c r="R37" s="59"/>
      <c r="S37" s="58"/>
      <c r="T37" s="59"/>
      <c r="U37" s="59"/>
      <c r="V37" s="59"/>
      <c r="W37" s="59"/>
      <c r="X37" s="59"/>
      <c r="Y37" s="59"/>
      <c r="Z37" s="58"/>
      <c r="AA37" s="59"/>
      <c r="AB37" s="59"/>
      <c r="AC37" s="58"/>
      <c r="AD37" s="59"/>
      <c r="AE37" s="59"/>
      <c r="AF37" s="59"/>
      <c r="AG37" s="58"/>
      <c r="AH37" s="58"/>
      <c r="AI37" s="89">
        <f t="shared" si="5"/>
        <v>0</v>
      </c>
      <c r="AJ37" s="86">
        <f>AI37*1.5</f>
        <v>0</v>
      </c>
      <c r="AK37" s="14"/>
    </row>
    <row r="38" spans="1:44" s="15" customFormat="1" ht="18" customHeight="1">
      <c r="A38" s="5"/>
      <c r="B38" s="54"/>
      <c r="C38" s="18" t="s">
        <v>8</v>
      </c>
      <c r="D38" s="66"/>
      <c r="E38" s="67"/>
      <c r="F38" s="68"/>
      <c r="G38" s="68"/>
      <c r="H38" s="68"/>
      <c r="I38" s="68"/>
      <c r="J38" s="68"/>
      <c r="K38" s="68"/>
      <c r="L38" s="67"/>
      <c r="M38" s="68"/>
      <c r="N38" s="68"/>
      <c r="O38" s="68"/>
      <c r="P38" s="68"/>
      <c r="Q38" s="68"/>
      <c r="R38" s="68"/>
      <c r="S38" s="67"/>
      <c r="T38" s="68"/>
      <c r="U38" s="68"/>
      <c r="V38" s="68"/>
      <c r="W38" s="68"/>
      <c r="X38" s="68"/>
      <c r="Y38" s="68"/>
      <c r="Z38" s="67"/>
      <c r="AA38" s="68"/>
      <c r="AB38" s="68"/>
      <c r="AC38" s="67"/>
      <c r="AD38" s="68"/>
      <c r="AE38" s="68"/>
      <c r="AF38" s="68"/>
      <c r="AG38" s="67"/>
      <c r="AH38" s="67"/>
      <c r="AI38" s="90">
        <f t="shared" si="5"/>
        <v>0</v>
      </c>
      <c r="AJ38" s="91">
        <f>AI38*0.5</f>
        <v>0</v>
      </c>
      <c r="AK38" s="17"/>
    </row>
    <row r="39" spans="1:44" s="15" customFormat="1" ht="18" customHeight="1">
      <c r="A39" s="5"/>
      <c r="B39" s="6"/>
      <c r="C39" s="19" t="s">
        <v>3</v>
      </c>
      <c r="D39" s="70"/>
      <c r="E39" s="71"/>
      <c r="F39" s="72"/>
      <c r="G39" s="72"/>
      <c r="H39" s="72"/>
      <c r="I39" s="72"/>
      <c r="J39" s="72"/>
      <c r="K39" s="72"/>
      <c r="L39" s="71"/>
      <c r="M39" s="72"/>
      <c r="N39" s="72"/>
      <c r="O39" s="72"/>
      <c r="P39" s="72"/>
      <c r="Q39" s="72"/>
      <c r="R39" s="72"/>
      <c r="S39" s="71"/>
      <c r="T39" s="72"/>
      <c r="U39" s="72"/>
      <c r="V39" s="72"/>
      <c r="W39" s="72"/>
      <c r="X39" s="72"/>
      <c r="Y39" s="72"/>
      <c r="Z39" s="71"/>
      <c r="AA39" s="72"/>
      <c r="AB39" s="72"/>
      <c r="AC39" s="71"/>
      <c r="AD39" s="72"/>
      <c r="AE39" s="72"/>
      <c r="AF39" s="72"/>
      <c r="AG39" s="71"/>
      <c r="AH39" s="71"/>
      <c r="AI39" s="92">
        <f t="shared" si="5"/>
        <v>0</v>
      </c>
      <c r="AJ39" s="93">
        <f>AI39*1.5</f>
        <v>0</v>
      </c>
      <c r="AK39" s="17"/>
    </row>
    <row r="40" spans="1:44" s="15" customFormat="1" ht="18" customHeight="1">
      <c r="A40" s="5"/>
      <c r="B40" s="41"/>
      <c r="C40" s="34" t="s">
        <v>46</v>
      </c>
      <c r="D40" s="74"/>
      <c r="E40" s="75"/>
      <c r="F40" s="76"/>
      <c r="G40" s="76"/>
      <c r="H40" s="76"/>
      <c r="I40" s="76"/>
      <c r="J40" s="76"/>
      <c r="K40" s="76"/>
      <c r="L40" s="75"/>
      <c r="M40" s="76"/>
      <c r="N40" s="76"/>
      <c r="O40" s="76"/>
      <c r="P40" s="76"/>
      <c r="Q40" s="76"/>
      <c r="R40" s="76"/>
      <c r="S40" s="75"/>
      <c r="T40" s="76"/>
      <c r="U40" s="76"/>
      <c r="V40" s="76"/>
      <c r="W40" s="76"/>
      <c r="X40" s="76"/>
      <c r="Y40" s="76"/>
      <c r="Z40" s="75"/>
      <c r="AA40" s="76"/>
      <c r="AB40" s="76"/>
      <c r="AC40" s="75"/>
      <c r="AD40" s="76"/>
      <c r="AE40" s="76"/>
      <c r="AF40" s="76"/>
      <c r="AG40" s="75"/>
      <c r="AH40" s="75"/>
      <c r="AI40" s="94">
        <f t="shared" si="5"/>
        <v>0</v>
      </c>
      <c r="AJ40" s="95">
        <f>AI40*1</f>
        <v>0</v>
      </c>
      <c r="AK40" s="17"/>
    </row>
    <row r="41" spans="1:44" s="15" customFormat="1" ht="18" customHeight="1">
      <c r="A41" s="38"/>
      <c r="B41" s="43"/>
      <c r="C41" s="35" t="s">
        <v>47</v>
      </c>
      <c r="D41" s="78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80"/>
      <c r="AF41" s="79"/>
      <c r="AG41" s="79"/>
      <c r="AH41" s="79"/>
      <c r="AI41" s="92">
        <f t="shared" si="5"/>
        <v>0</v>
      </c>
      <c r="AJ41" s="93">
        <f>AI41*1</f>
        <v>0</v>
      </c>
      <c r="AK41" s="20"/>
    </row>
    <row r="42" spans="1:44" s="111" customFormat="1" ht="18" customHeight="1">
      <c r="A42" s="5">
        <f>A33+1</f>
        <v>5</v>
      </c>
      <c r="B42" s="41" t="e">
        <f>_xlfn.XLOOKUP(A42,#REF!,#REF!)</f>
        <v>#REF!</v>
      </c>
      <c r="C42" s="7" t="s">
        <v>9</v>
      </c>
      <c r="D42" s="53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134"/>
      <c r="AJ42" s="135"/>
      <c r="AK42" s="525">
        <f>COUNT(D42:AH42)</f>
        <v>0</v>
      </c>
      <c r="AL42" s="111" t="str">
        <f>C44</f>
        <v>기본근로</v>
      </c>
      <c r="AM42" s="111" t="str">
        <f>C49</f>
        <v>주휴일</v>
      </c>
      <c r="AN42" s="111" t="str">
        <f>C45</f>
        <v>고정연장</v>
      </c>
      <c r="AO42" s="111" t="str">
        <f>C46</f>
        <v>특별연장</v>
      </c>
      <c r="AP42" s="111" t="str">
        <f>C47</f>
        <v>야간근로</v>
      </c>
      <c r="AQ42" s="111" t="str">
        <f>C48</f>
        <v>휴일근로</v>
      </c>
      <c r="AR42" s="111" t="str">
        <f>C50</f>
        <v>연차휴가</v>
      </c>
    </row>
    <row r="43" spans="1:44" s="111" customFormat="1" ht="18" customHeight="1">
      <c r="A43" s="45"/>
      <c r="B43" s="41" t="e">
        <f>_xlfn.XLOOKUP(A42,#REF!,#REF!)</f>
        <v>#REF!</v>
      </c>
      <c r="C43" s="9" t="s">
        <v>10</v>
      </c>
      <c r="D43" s="52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98"/>
      <c r="AJ43" s="99"/>
      <c r="AK43" s="523"/>
      <c r="AL43" s="51">
        <f>AI44</f>
        <v>0</v>
      </c>
      <c r="AM43" s="51">
        <f>AI49</f>
        <v>0</v>
      </c>
      <c r="AN43" s="51">
        <f>AI45</f>
        <v>0</v>
      </c>
      <c r="AO43" s="51">
        <f>AI46</f>
        <v>0</v>
      </c>
      <c r="AP43" s="51">
        <f>AI47</f>
        <v>0</v>
      </c>
      <c r="AQ43" s="51">
        <f>AI48</f>
        <v>0</v>
      </c>
      <c r="AR43" s="111">
        <f>AI50</f>
        <v>0</v>
      </c>
    </row>
    <row r="44" spans="1:44" s="15" customFormat="1" ht="18" customHeight="1">
      <c r="A44" s="5"/>
      <c r="B44" s="42" t="e">
        <f>_xlfn.XLOOKUP(A42,#REF!,#REF!)</f>
        <v>#REF!</v>
      </c>
      <c r="C44" s="13" t="s">
        <v>7</v>
      </c>
      <c r="D44" s="57"/>
      <c r="E44" s="58"/>
      <c r="F44" s="59"/>
      <c r="G44" s="59"/>
      <c r="H44" s="60"/>
      <c r="I44" s="59"/>
      <c r="J44" s="60"/>
      <c r="K44" s="59"/>
      <c r="L44" s="58"/>
      <c r="M44" s="59"/>
      <c r="N44" s="59"/>
      <c r="O44" s="59"/>
      <c r="P44" s="59"/>
      <c r="Q44" s="59"/>
      <c r="R44" s="59"/>
      <c r="S44" s="58"/>
      <c r="T44" s="59"/>
      <c r="U44" s="59"/>
      <c r="V44" s="59"/>
      <c r="W44" s="59"/>
      <c r="X44" s="59"/>
      <c r="Y44" s="59"/>
      <c r="Z44" s="58"/>
      <c r="AA44" s="59"/>
      <c r="AB44" s="59"/>
      <c r="AC44" s="59"/>
      <c r="AD44" s="59"/>
      <c r="AE44" s="59"/>
      <c r="AF44" s="59"/>
      <c r="AG44" s="58"/>
      <c r="AH44" s="58"/>
      <c r="AI44" s="89">
        <f t="shared" ref="AI44:AI50" si="6">SUM(D44:AH44)</f>
        <v>0</v>
      </c>
      <c r="AJ44" s="86">
        <f>AI44*1</f>
        <v>0</v>
      </c>
      <c r="AK44" s="14" t="s">
        <v>23</v>
      </c>
    </row>
    <row r="45" spans="1:44" s="15" customFormat="1" ht="18" customHeight="1">
      <c r="A45" s="5"/>
      <c r="B45" s="41" t="e">
        <f>_xlfn.XLOOKUP(A42,#REF!,#REF!)</f>
        <v>#REF!</v>
      </c>
      <c r="C45" s="16" t="s">
        <v>16</v>
      </c>
      <c r="D45" s="62"/>
      <c r="E45" s="63"/>
      <c r="F45" s="64"/>
      <c r="G45" s="64"/>
      <c r="H45" s="64"/>
      <c r="I45" s="64"/>
      <c r="J45" s="64"/>
      <c r="K45" s="64"/>
      <c r="L45" s="63"/>
      <c r="M45" s="64"/>
      <c r="N45" s="64"/>
      <c r="O45" s="64"/>
      <c r="P45" s="64"/>
      <c r="Q45" s="64"/>
      <c r="R45" s="64"/>
      <c r="S45" s="63"/>
      <c r="T45" s="64"/>
      <c r="U45" s="64"/>
      <c r="V45" s="64"/>
      <c r="W45" s="64"/>
      <c r="X45" s="64"/>
      <c r="Y45" s="64"/>
      <c r="Z45" s="63"/>
      <c r="AA45" s="64"/>
      <c r="AB45" s="64"/>
      <c r="AC45" s="64"/>
      <c r="AD45" s="64"/>
      <c r="AE45" s="64"/>
      <c r="AF45" s="64"/>
      <c r="AG45" s="63"/>
      <c r="AH45" s="63"/>
      <c r="AI45" s="100">
        <f t="shared" si="6"/>
        <v>0</v>
      </c>
      <c r="AJ45" s="88">
        <f>AI45*1.5</f>
        <v>0</v>
      </c>
      <c r="AK45" s="17" t="s">
        <v>24</v>
      </c>
    </row>
    <row r="46" spans="1:44" s="15" customFormat="1" ht="18" customHeight="1">
      <c r="A46" s="5"/>
      <c r="B46" s="132"/>
      <c r="C46" s="13" t="s">
        <v>50</v>
      </c>
      <c r="D46" s="57"/>
      <c r="E46" s="58"/>
      <c r="F46" s="59"/>
      <c r="G46" s="59"/>
      <c r="H46" s="59"/>
      <c r="I46" s="59"/>
      <c r="J46" s="59"/>
      <c r="K46" s="59"/>
      <c r="L46" s="58"/>
      <c r="M46" s="59"/>
      <c r="N46" s="59"/>
      <c r="O46" s="59"/>
      <c r="P46" s="59"/>
      <c r="Q46" s="59"/>
      <c r="R46" s="59"/>
      <c r="S46" s="58"/>
      <c r="T46" s="59"/>
      <c r="U46" s="59"/>
      <c r="V46" s="59"/>
      <c r="W46" s="59"/>
      <c r="X46" s="59"/>
      <c r="Y46" s="59"/>
      <c r="Z46" s="58"/>
      <c r="AA46" s="59"/>
      <c r="AB46" s="59"/>
      <c r="AC46" s="58"/>
      <c r="AD46" s="59"/>
      <c r="AE46" s="59"/>
      <c r="AF46" s="59"/>
      <c r="AG46" s="58"/>
      <c r="AH46" s="58"/>
      <c r="AI46" s="89">
        <f t="shared" si="6"/>
        <v>0</v>
      </c>
      <c r="AJ46" s="86">
        <f>AI46*1.5</f>
        <v>0</v>
      </c>
      <c r="AK46" s="14"/>
    </row>
    <row r="47" spans="1:44" s="15" customFormat="1" ht="18" customHeight="1">
      <c r="A47" s="5"/>
      <c r="B47" s="54"/>
      <c r="C47" s="18" t="s">
        <v>8</v>
      </c>
      <c r="D47" s="66"/>
      <c r="E47" s="67"/>
      <c r="F47" s="68"/>
      <c r="G47" s="68"/>
      <c r="H47" s="68"/>
      <c r="I47" s="68"/>
      <c r="J47" s="68"/>
      <c r="K47" s="68"/>
      <c r="L47" s="67"/>
      <c r="M47" s="68"/>
      <c r="N47" s="68"/>
      <c r="O47" s="68"/>
      <c r="P47" s="68"/>
      <c r="Q47" s="68"/>
      <c r="R47" s="68"/>
      <c r="S47" s="67"/>
      <c r="T47" s="68"/>
      <c r="U47" s="68"/>
      <c r="V47" s="68"/>
      <c r="W47" s="68"/>
      <c r="X47" s="68"/>
      <c r="Y47" s="68"/>
      <c r="Z47" s="67"/>
      <c r="AA47" s="68"/>
      <c r="AB47" s="68"/>
      <c r="AC47" s="67"/>
      <c r="AD47" s="68"/>
      <c r="AE47" s="68"/>
      <c r="AF47" s="68"/>
      <c r="AG47" s="67"/>
      <c r="AH47" s="67"/>
      <c r="AI47" s="90">
        <f t="shared" si="6"/>
        <v>0</v>
      </c>
      <c r="AJ47" s="91">
        <f>AI47*0.5</f>
        <v>0</v>
      </c>
      <c r="AK47" s="17"/>
    </row>
    <row r="48" spans="1:44" s="15" customFormat="1" ht="18" customHeight="1">
      <c r="A48" s="5"/>
      <c r="B48" s="6"/>
      <c r="C48" s="19" t="s">
        <v>3</v>
      </c>
      <c r="D48" s="70"/>
      <c r="E48" s="71"/>
      <c r="F48" s="72"/>
      <c r="G48" s="72"/>
      <c r="H48" s="72"/>
      <c r="I48" s="72"/>
      <c r="J48" s="72"/>
      <c r="K48" s="72"/>
      <c r="L48" s="71"/>
      <c r="M48" s="72"/>
      <c r="N48" s="72"/>
      <c r="O48" s="72"/>
      <c r="P48" s="72"/>
      <c r="Q48" s="72"/>
      <c r="R48" s="72"/>
      <c r="S48" s="71"/>
      <c r="T48" s="72"/>
      <c r="U48" s="72"/>
      <c r="V48" s="72"/>
      <c r="W48" s="72"/>
      <c r="X48" s="72"/>
      <c r="Y48" s="72"/>
      <c r="Z48" s="71"/>
      <c r="AA48" s="72"/>
      <c r="AB48" s="72"/>
      <c r="AC48" s="71"/>
      <c r="AD48" s="72"/>
      <c r="AE48" s="72"/>
      <c r="AF48" s="72"/>
      <c r="AG48" s="71"/>
      <c r="AH48" s="71"/>
      <c r="AI48" s="92">
        <f t="shared" si="6"/>
        <v>0</v>
      </c>
      <c r="AJ48" s="93">
        <f>AI48*1.5</f>
        <v>0</v>
      </c>
      <c r="AK48" s="17"/>
    </row>
    <row r="49" spans="1:44" s="15" customFormat="1" ht="18" customHeight="1">
      <c r="A49" s="5"/>
      <c r="B49" s="41"/>
      <c r="C49" s="34" t="s">
        <v>46</v>
      </c>
      <c r="D49" s="74"/>
      <c r="E49" s="75"/>
      <c r="F49" s="76"/>
      <c r="G49" s="76"/>
      <c r="H49" s="76"/>
      <c r="I49" s="76"/>
      <c r="J49" s="76"/>
      <c r="K49" s="76"/>
      <c r="L49" s="75"/>
      <c r="M49" s="76"/>
      <c r="N49" s="76"/>
      <c r="O49" s="76"/>
      <c r="P49" s="76"/>
      <c r="Q49" s="76"/>
      <c r="R49" s="76"/>
      <c r="S49" s="75"/>
      <c r="T49" s="76"/>
      <c r="U49" s="76"/>
      <c r="V49" s="76"/>
      <c r="W49" s="76"/>
      <c r="X49" s="76"/>
      <c r="Y49" s="76"/>
      <c r="Z49" s="75"/>
      <c r="AA49" s="76"/>
      <c r="AB49" s="76"/>
      <c r="AC49" s="75"/>
      <c r="AD49" s="76"/>
      <c r="AE49" s="76"/>
      <c r="AF49" s="76"/>
      <c r="AG49" s="75"/>
      <c r="AH49" s="75"/>
      <c r="AI49" s="94">
        <f t="shared" si="6"/>
        <v>0</v>
      </c>
      <c r="AJ49" s="95">
        <f>AI49*1</f>
        <v>0</v>
      </c>
      <c r="AK49" s="17"/>
    </row>
    <row r="50" spans="1:44" s="15" customFormat="1" ht="18" customHeight="1" thickBot="1">
      <c r="A50" s="39"/>
      <c r="B50" s="44"/>
      <c r="C50" s="40" t="s">
        <v>47</v>
      </c>
      <c r="D50" s="82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4"/>
      <c r="AF50" s="83"/>
      <c r="AG50" s="83"/>
      <c r="AH50" s="83"/>
      <c r="AI50" s="101">
        <f t="shared" si="6"/>
        <v>0</v>
      </c>
      <c r="AJ50" s="102">
        <f>AI50*1</f>
        <v>0</v>
      </c>
      <c r="AK50" s="24"/>
    </row>
    <row r="51" spans="1:44" ht="18" customHeight="1">
      <c r="A51" s="46">
        <f>A42+1</f>
        <v>6</v>
      </c>
      <c r="B51" s="47" t="e">
        <f>_xlfn.XLOOKUP(A51,#REF!,#REF!)</f>
        <v>#REF!</v>
      </c>
      <c r="C51" s="48" t="s">
        <v>9</v>
      </c>
      <c r="D51" s="104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49"/>
      <c r="AJ51" s="50"/>
      <c r="AK51" s="526">
        <f>COUNT(D51:AH51)</f>
        <v>0</v>
      </c>
      <c r="AL51" s="111" t="str">
        <f>C53</f>
        <v>기본근로</v>
      </c>
      <c r="AM51" s="111" t="str">
        <f>C58</f>
        <v>주휴일</v>
      </c>
      <c r="AN51" s="111" t="str">
        <f>C54</f>
        <v>고정연장</v>
      </c>
      <c r="AO51" s="111" t="str">
        <f>C55</f>
        <v>특별연장</v>
      </c>
      <c r="AP51" s="111" t="str">
        <f>C56</f>
        <v>야간근로</v>
      </c>
      <c r="AQ51" s="111" t="str">
        <f>C57</f>
        <v>휴일근로</v>
      </c>
      <c r="AR51" s="111" t="str">
        <f>C59</f>
        <v>연차휴가</v>
      </c>
    </row>
    <row r="52" spans="1:44" ht="18" customHeight="1">
      <c r="A52" s="45"/>
      <c r="B52" s="41" t="e">
        <f>_xlfn.XLOOKUP(A51,#REF!,#REF!)</f>
        <v>#REF!</v>
      </c>
      <c r="C52" s="9" t="s">
        <v>10</v>
      </c>
      <c r="D52" s="52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/>
      <c r="AJ52" s="12"/>
      <c r="AK52" s="519"/>
      <c r="AL52" s="51">
        <f>AI53</f>
        <v>0</v>
      </c>
      <c r="AM52" s="51">
        <f>AI58</f>
        <v>0</v>
      </c>
      <c r="AN52" s="51">
        <f>AI54</f>
        <v>0</v>
      </c>
      <c r="AO52" s="51">
        <f>AI55</f>
        <v>0</v>
      </c>
      <c r="AP52" s="51">
        <f>AI56</f>
        <v>0</v>
      </c>
      <c r="AQ52" s="51">
        <f>AI57</f>
        <v>0</v>
      </c>
      <c r="AR52" s="111">
        <f>AI59</f>
        <v>0</v>
      </c>
    </row>
    <row r="53" spans="1:44" ht="18" customHeight="1">
      <c r="A53" s="5"/>
      <c r="B53" s="42" t="e">
        <f>_xlfn.XLOOKUP(A51,#REF!,#REF!)</f>
        <v>#REF!</v>
      </c>
      <c r="C53" s="13" t="s">
        <v>7</v>
      </c>
      <c r="D53" s="57"/>
      <c r="E53" s="58"/>
      <c r="F53" s="59"/>
      <c r="G53" s="59"/>
      <c r="H53" s="60"/>
      <c r="I53" s="59"/>
      <c r="J53" s="60"/>
      <c r="K53" s="59"/>
      <c r="L53" s="58"/>
      <c r="M53" s="59"/>
      <c r="N53" s="59"/>
      <c r="O53" s="59"/>
      <c r="P53" s="59"/>
      <c r="Q53" s="59"/>
      <c r="R53" s="59"/>
      <c r="S53" s="58"/>
      <c r="T53" s="59"/>
      <c r="U53" s="59"/>
      <c r="V53" s="59"/>
      <c r="W53" s="59"/>
      <c r="X53" s="59"/>
      <c r="Y53" s="59"/>
      <c r="Z53" s="58"/>
      <c r="AA53" s="59"/>
      <c r="AB53" s="59"/>
      <c r="AC53" s="59"/>
      <c r="AD53" s="59"/>
      <c r="AE53" s="59"/>
      <c r="AF53" s="59"/>
      <c r="AG53" s="58"/>
      <c r="AH53" s="58"/>
      <c r="AI53" s="85">
        <f>SUM(D53:AH53)</f>
        <v>0</v>
      </c>
      <c r="AJ53" s="86">
        <f>AI53*1</f>
        <v>0</v>
      </c>
      <c r="AK53" s="14" t="s">
        <v>23</v>
      </c>
    </row>
    <row r="54" spans="1:44" ht="18" customHeight="1">
      <c r="A54" s="5"/>
      <c r="B54" s="41" t="e">
        <f>_xlfn.XLOOKUP(A51,#REF!,#REF!)</f>
        <v>#REF!</v>
      </c>
      <c r="C54" s="16" t="s">
        <v>16</v>
      </c>
      <c r="D54" s="62"/>
      <c r="E54" s="63"/>
      <c r="F54" s="64"/>
      <c r="G54" s="64"/>
      <c r="H54" s="64"/>
      <c r="I54" s="64"/>
      <c r="J54" s="64"/>
      <c r="K54" s="64"/>
      <c r="L54" s="63"/>
      <c r="M54" s="64"/>
      <c r="N54" s="64"/>
      <c r="O54" s="64"/>
      <c r="P54" s="64"/>
      <c r="Q54" s="64"/>
      <c r="R54" s="64"/>
      <c r="S54" s="63"/>
      <c r="T54" s="64"/>
      <c r="U54" s="64"/>
      <c r="V54" s="64"/>
      <c r="W54" s="64"/>
      <c r="X54" s="64"/>
      <c r="Y54" s="64"/>
      <c r="Z54" s="63"/>
      <c r="AA54" s="64"/>
      <c r="AB54" s="64"/>
      <c r="AC54" s="64"/>
      <c r="AD54" s="64"/>
      <c r="AE54" s="64"/>
      <c r="AF54" s="64"/>
      <c r="AG54" s="63"/>
      <c r="AH54" s="63"/>
      <c r="AI54" s="87">
        <f t="shared" ref="AI54:AI59" si="7">SUM(D54:AH54)</f>
        <v>0</v>
      </c>
      <c r="AJ54" s="88">
        <f>AI54*1.5</f>
        <v>0</v>
      </c>
      <c r="AK54" s="17" t="s">
        <v>24</v>
      </c>
    </row>
    <row r="55" spans="1:44" ht="18" customHeight="1">
      <c r="A55" s="5"/>
      <c r="B55" s="132"/>
      <c r="C55" s="13" t="s">
        <v>50</v>
      </c>
      <c r="D55" s="57"/>
      <c r="E55" s="58"/>
      <c r="F55" s="59"/>
      <c r="G55" s="59"/>
      <c r="H55" s="59"/>
      <c r="I55" s="59"/>
      <c r="J55" s="59"/>
      <c r="K55" s="59"/>
      <c r="L55" s="58"/>
      <c r="M55" s="59"/>
      <c r="N55" s="59"/>
      <c r="O55" s="59"/>
      <c r="P55" s="59"/>
      <c r="Q55" s="59"/>
      <c r="R55" s="59"/>
      <c r="S55" s="58"/>
      <c r="T55" s="59"/>
      <c r="U55" s="59"/>
      <c r="V55" s="59"/>
      <c r="W55" s="59"/>
      <c r="X55" s="59"/>
      <c r="Y55" s="59"/>
      <c r="Z55" s="58"/>
      <c r="AA55" s="59"/>
      <c r="AB55" s="59"/>
      <c r="AC55" s="58"/>
      <c r="AD55" s="59"/>
      <c r="AE55" s="59"/>
      <c r="AF55" s="59"/>
      <c r="AG55" s="58"/>
      <c r="AH55" s="58"/>
      <c r="AI55" s="89">
        <f t="shared" si="7"/>
        <v>0</v>
      </c>
      <c r="AJ55" s="86">
        <f>AI55*1.5</f>
        <v>0</v>
      </c>
      <c r="AK55" s="14"/>
    </row>
    <row r="56" spans="1:44" ht="18" customHeight="1">
      <c r="A56" s="5"/>
      <c r="B56" s="54"/>
      <c r="C56" s="18" t="s">
        <v>8</v>
      </c>
      <c r="D56" s="66"/>
      <c r="E56" s="67"/>
      <c r="F56" s="68"/>
      <c r="G56" s="68"/>
      <c r="H56" s="68"/>
      <c r="I56" s="68"/>
      <c r="J56" s="68"/>
      <c r="K56" s="68"/>
      <c r="L56" s="67"/>
      <c r="M56" s="68"/>
      <c r="N56" s="68"/>
      <c r="O56" s="68"/>
      <c r="P56" s="68"/>
      <c r="Q56" s="68"/>
      <c r="R56" s="68"/>
      <c r="S56" s="67"/>
      <c r="T56" s="68"/>
      <c r="U56" s="68"/>
      <c r="V56" s="68"/>
      <c r="W56" s="68"/>
      <c r="X56" s="68"/>
      <c r="Y56" s="68"/>
      <c r="Z56" s="67"/>
      <c r="AA56" s="68"/>
      <c r="AB56" s="68"/>
      <c r="AC56" s="67"/>
      <c r="AD56" s="68"/>
      <c r="AE56" s="68"/>
      <c r="AF56" s="68"/>
      <c r="AG56" s="67"/>
      <c r="AH56" s="67"/>
      <c r="AI56" s="90">
        <f t="shared" si="7"/>
        <v>0</v>
      </c>
      <c r="AJ56" s="91">
        <f>AI56*0.5</f>
        <v>0</v>
      </c>
      <c r="AK56" s="17"/>
    </row>
    <row r="57" spans="1:44" ht="18" customHeight="1">
      <c r="A57" s="5"/>
      <c r="B57" s="6"/>
      <c r="C57" s="19" t="s">
        <v>3</v>
      </c>
      <c r="D57" s="70"/>
      <c r="E57" s="71"/>
      <c r="F57" s="72"/>
      <c r="G57" s="72"/>
      <c r="H57" s="72"/>
      <c r="I57" s="72"/>
      <c r="J57" s="72"/>
      <c r="K57" s="72"/>
      <c r="L57" s="71"/>
      <c r="M57" s="72"/>
      <c r="N57" s="72"/>
      <c r="O57" s="72"/>
      <c r="P57" s="72"/>
      <c r="Q57" s="72"/>
      <c r="R57" s="72"/>
      <c r="S57" s="71"/>
      <c r="T57" s="72"/>
      <c r="U57" s="72"/>
      <c r="V57" s="72"/>
      <c r="W57" s="72"/>
      <c r="X57" s="72"/>
      <c r="Y57" s="72"/>
      <c r="Z57" s="71"/>
      <c r="AA57" s="72"/>
      <c r="AB57" s="72"/>
      <c r="AC57" s="71"/>
      <c r="AD57" s="72"/>
      <c r="AE57" s="72"/>
      <c r="AF57" s="72"/>
      <c r="AG57" s="71"/>
      <c r="AH57" s="71"/>
      <c r="AI57" s="92">
        <f t="shared" si="7"/>
        <v>0</v>
      </c>
      <c r="AJ57" s="93">
        <f>AI57*1.5</f>
        <v>0</v>
      </c>
      <c r="AK57" s="17"/>
    </row>
    <row r="58" spans="1:44" ht="18" customHeight="1">
      <c r="A58" s="5"/>
      <c r="B58" s="41"/>
      <c r="C58" s="34" t="s">
        <v>46</v>
      </c>
      <c r="D58" s="74"/>
      <c r="E58" s="75"/>
      <c r="F58" s="76"/>
      <c r="G58" s="76"/>
      <c r="H58" s="76"/>
      <c r="I58" s="76"/>
      <c r="J58" s="76"/>
      <c r="K58" s="76"/>
      <c r="L58" s="75"/>
      <c r="M58" s="76"/>
      <c r="N58" s="76"/>
      <c r="O58" s="76"/>
      <c r="P58" s="76"/>
      <c r="Q58" s="76"/>
      <c r="R58" s="76"/>
      <c r="S58" s="75"/>
      <c r="T58" s="76"/>
      <c r="U58" s="76"/>
      <c r="V58" s="76"/>
      <c r="W58" s="76"/>
      <c r="X58" s="76"/>
      <c r="Y58" s="76"/>
      <c r="Z58" s="75"/>
      <c r="AA58" s="76"/>
      <c r="AB58" s="76"/>
      <c r="AC58" s="75"/>
      <c r="AD58" s="76"/>
      <c r="AE58" s="76"/>
      <c r="AF58" s="76"/>
      <c r="AG58" s="75"/>
      <c r="AH58" s="75"/>
      <c r="AI58" s="94">
        <f t="shared" si="7"/>
        <v>0</v>
      </c>
      <c r="AJ58" s="95">
        <f>AI58*1</f>
        <v>0</v>
      </c>
      <c r="AK58" s="17"/>
    </row>
    <row r="59" spans="1:44" ht="18" customHeight="1">
      <c r="A59" s="38"/>
      <c r="B59" s="43"/>
      <c r="C59" s="35" t="s">
        <v>47</v>
      </c>
      <c r="D59" s="78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80"/>
      <c r="AF59" s="79"/>
      <c r="AG59" s="79"/>
      <c r="AH59" s="79"/>
      <c r="AI59" s="92">
        <f t="shared" si="7"/>
        <v>0</v>
      </c>
      <c r="AJ59" s="93">
        <f>AI59*1</f>
        <v>0</v>
      </c>
      <c r="AK59" s="20"/>
    </row>
    <row r="60" spans="1:44" ht="18" customHeight="1">
      <c r="A60" s="21">
        <f>A51+1</f>
        <v>7</v>
      </c>
      <c r="B60" s="41" t="e">
        <f>_xlfn.XLOOKUP(A60,#REF!,#REF!)</f>
        <v>#REF!</v>
      </c>
      <c r="C60" s="22" t="s">
        <v>9</v>
      </c>
      <c r="D60" s="53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56"/>
      <c r="AI60" s="96"/>
      <c r="AJ60" s="97"/>
      <c r="AK60" s="518">
        <f>COUNT(D60:AH60)</f>
        <v>0</v>
      </c>
      <c r="AL60" s="111" t="str">
        <f>C62</f>
        <v>기본근로</v>
      </c>
      <c r="AM60" s="111" t="str">
        <f>C67</f>
        <v>주휴일</v>
      </c>
      <c r="AN60" s="111" t="str">
        <f>C63</f>
        <v>고정연장</v>
      </c>
      <c r="AO60" s="111" t="str">
        <f>C64</f>
        <v>특별연장</v>
      </c>
      <c r="AP60" s="111" t="str">
        <f>C65</f>
        <v>야간근로</v>
      </c>
      <c r="AQ60" s="111" t="str">
        <f>C66</f>
        <v>휴일근로</v>
      </c>
      <c r="AR60" s="111" t="str">
        <f>C68</f>
        <v>연차휴가</v>
      </c>
    </row>
    <row r="61" spans="1:44" ht="18" customHeight="1">
      <c r="A61" s="45"/>
      <c r="B61" s="41" t="e">
        <f>_xlfn.XLOOKUP(A60,#REF!,#REF!)</f>
        <v>#REF!</v>
      </c>
      <c r="C61" s="9" t="s">
        <v>10</v>
      </c>
      <c r="D61" s="52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55"/>
      <c r="AI61" s="98"/>
      <c r="AJ61" s="99"/>
      <c r="AK61" s="519"/>
      <c r="AL61" s="51">
        <f>AI62</f>
        <v>0</v>
      </c>
      <c r="AM61" s="51">
        <f>AI67</f>
        <v>0</v>
      </c>
      <c r="AN61" s="51">
        <f>AI63</f>
        <v>0</v>
      </c>
      <c r="AO61" s="51">
        <f>AI64</f>
        <v>0</v>
      </c>
      <c r="AP61" s="51">
        <f>AI65</f>
        <v>0</v>
      </c>
      <c r="AQ61" s="51">
        <f>AI66</f>
        <v>0</v>
      </c>
      <c r="AR61" s="111">
        <f>AI68</f>
        <v>0</v>
      </c>
    </row>
    <row r="62" spans="1:44" ht="18" customHeight="1">
      <c r="A62" s="5"/>
      <c r="B62" s="42" t="e">
        <f>_xlfn.XLOOKUP(A60,#REF!,#REF!)</f>
        <v>#REF!</v>
      </c>
      <c r="C62" s="13" t="s">
        <v>7</v>
      </c>
      <c r="D62" s="57"/>
      <c r="E62" s="58"/>
      <c r="F62" s="59"/>
      <c r="G62" s="59"/>
      <c r="H62" s="60"/>
      <c r="I62" s="59"/>
      <c r="J62" s="60"/>
      <c r="K62" s="59"/>
      <c r="L62" s="58"/>
      <c r="M62" s="59"/>
      <c r="N62" s="59"/>
      <c r="O62" s="59"/>
      <c r="P62" s="59"/>
      <c r="Q62" s="59"/>
      <c r="R62" s="59"/>
      <c r="S62" s="58"/>
      <c r="T62" s="59"/>
      <c r="U62" s="59"/>
      <c r="V62" s="59"/>
      <c r="W62" s="59"/>
      <c r="X62" s="59"/>
      <c r="Y62" s="59"/>
      <c r="Z62" s="58"/>
      <c r="AA62" s="59"/>
      <c r="AB62" s="59"/>
      <c r="AC62" s="59"/>
      <c r="AD62" s="59"/>
      <c r="AE62" s="59"/>
      <c r="AF62" s="59"/>
      <c r="AG62" s="58"/>
      <c r="AH62" s="61"/>
      <c r="AI62" s="89">
        <f t="shared" ref="AI62:AI68" si="8">SUM(D62:AH62)</f>
        <v>0</v>
      </c>
      <c r="AJ62" s="86">
        <f>AI62*1</f>
        <v>0</v>
      </c>
      <c r="AK62" s="14" t="s">
        <v>23</v>
      </c>
    </row>
    <row r="63" spans="1:44" ht="18" customHeight="1">
      <c r="A63" s="5"/>
      <c r="B63" s="41" t="e">
        <f>_xlfn.XLOOKUP(A60,#REF!,#REF!)</f>
        <v>#REF!</v>
      </c>
      <c r="C63" s="16" t="s">
        <v>16</v>
      </c>
      <c r="D63" s="62"/>
      <c r="E63" s="63"/>
      <c r="F63" s="64"/>
      <c r="G63" s="64"/>
      <c r="H63" s="64"/>
      <c r="I63" s="64"/>
      <c r="J63" s="64"/>
      <c r="K63" s="64"/>
      <c r="L63" s="63"/>
      <c r="M63" s="64"/>
      <c r="N63" s="64"/>
      <c r="O63" s="64"/>
      <c r="P63" s="64"/>
      <c r="Q63" s="64"/>
      <c r="R63" s="64"/>
      <c r="S63" s="63"/>
      <c r="T63" s="64"/>
      <c r="U63" s="64"/>
      <c r="V63" s="64"/>
      <c r="W63" s="64"/>
      <c r="X63" s="64"/>
      <c r="Y63" s="64"/>
      <c r="Z63" s="63"/>
      <c r="AA63" s="64"/>
      <c r="AB63" s="64"/>
      <c r="AC63" s="64"/>
      <c r="AD63" s="64"/>
      <c r="AE63" s="64"/>
      <c r="AF63" s="64"/>
      <c r="AG63" s="63"/>
      <c r="AH63" s="65"/>
      <c r="AI63" s="100">
        <f t="shared" si="8"/>
        <v>0</v>
      </c>
      <c r="AJ63" s="88">
        <f>AI63*1.5</f>
        <v>0</v>
      </c>
      <c r="AK63" s="17" t="s">
        <v>24</v>
      </c>
    </row>
    <row r="64" spans="1:44" ht="18" customHeight="1">
      <c r="A64" s="5"/>
      <c r="B64" s="132"/>
      <c r="C64" s="13" t="s">
        <v>50</v>
      </c>
      <c r="D64" s="57"/>
      <c r="E64" s="58"/>
      <c r="F64" s="59"/>
      <c r="G64" s="59"/>
      <c r="H64" s="59"/>
      <c r="I64" s="59"/>
      <c r="J64" s="59"/>
      <c r="K64" s="59"/>
      <c r="L64" s="58"/>
      <c r="M64" s="59"/>
      <c r="N64" s="59"/>
      <c r="O64" s="59"/>
      <c r="P64" s="59"/>
      <c r="Q64" s="59"/>
      <c r="R64" s="59"/>
      <c r="S64" s="58"/>
      <c r="T64" s="59"/>
      <c r="U64" s="59"/>
      <c r="V64" s="59"/>
      <c r="W64" s="59"/>
      <c r="X64" s="59"/>
      <c r="Y64" s="59"/>
      <c r="Z64" s="58"/>
      <c r="AA64" s="59"/>
      <c r="AB64" s="59"/>
      <c r="AC64" s="58"/>
      <c r="AD64" s="59"/>
      <c r="AE64" s="59"/>
      <c r="AF64" s="59"/>
      <c r="AG64" s="58"/>
      <c r="AH64" s="61"/>
      <c r="AI64" s="89">
        <f t="shared" si="8"/>
        <v>0</v>
      </c>
      <c r="AJ64" s="86">
        <f>AI64*1.5</f>
        <v>0</v>
      </c>
      <c r="AK64" s="14"/>
    </row>
    <row r="65" spans="1:44" ht="18" customHeight="1">
      <c r="A65" s="5"/>
      <c r="B65" s="54"/>
      <c r="C65" s="18" t="s">
        <v>8</v>
      </c>
      <c r="D65" s="66"/>
      <c r="E65" s="67"/>
      <c r="F65" s="68"/>
      <c r="G65" s="68"/>
      <c r="H65" s="68"/>
      <c r="I65" s="68"/>
      <c r="J65" s="68"/>
      <c r="K65" s="68"/>
      <c r="L65" s="67"/>
      <c r="M65" s="68"/>
      <c r="N65" s="68"/>
      <c r="O65" s="68"/>
      <c r="P65" s="68"/>
      <c r="Q65" s="68"/>
      <c r="R65" s="68"/>
      <c r="S65" s="67"/>
      <c r="T65" s="68"/>
      <c r="U65" s="68"/>
      <c r="V65" s="68"/>
      <c r="W65" s="68"/>
      <c r="X65" s="68"/>
      <c r="Y65" s="68"/>
      <c r="Z65" s="67"/>
      <c r="AA65" s="68"/>
      <c r="AB65" s="68"/>
      <c r="AC65" s="67"/>
      <c r="AD65" s="68"/>
      <c r="AE65" s="68"/>
      <c r="AF65" s="68"/>
      <c r="AG65" s="67"/>
      <c r="AH65" s="69"/>
      <c r="AI65" s="90">
        <f t="shared" si="8"/>
        <v>0</v>
      </c>
      <c r="AJ65" s="91">
        <f>AI65*0.5</f>
        <v>0</v>
      </c>
      <c r="AK65" s="17"/>
    </row>
    <row r="66" spans="1:44" ht="18" customHeight="1">
      <c r="A66" s="5"/>
      <c r="B66" s="6"/>
      <c r="C66" s="19" t="s">
        <v>3</v>
      </c>
      <c r="D66" s="70"/>
      <c r="E66" s="71"/>
      <c r="F66" s="72"/>
      <c r="G66" s="72"/>
      <c r="H66" s="72"/>
      <c r="I66" s="72"/>
      <c r="J66" s="72"/>
      <c r="K66" s="72"/>
      <c r="L66" s="71"/>
      <c r="M66" s="72"/>
      <c r="N66" s="72"/>
      <c r="O66" s="72"/>
      <c r="P66" s="72"/>
      <c r="Q66" s="72"/>
      <c r="R66" s="72"/>
      <c r="S66" s="71"/>
      <c r="T66" s="72"/>
      <c r="U66" s="72"/>
      <c r="V66" s="72"/>
      <c r="W66" s="72"/>
      <c r="X66" s="72"/>
      <c r="Y66" s="72"/>
      <c r="Z66" s="71"/>
      <c r="AA66" s="72"/>
      <c r="AB66" s="72"/>
      <c r="AC66" s="71"/>
      <c r="AD66" s="72"/>
      <c r="AE66" s="72"/>
      <c r="AF66" s="72"/>
      <c r="AG66" s="71"/>
      <c r="AH66" s="73"/>
      <c r="AI66" s="92">
        <f t="shared" si="8"/>
        <v>0</v>
      </c>
      <c r="AJ66" s="93">
        <f>AI66*1.5</f>
        <v>0</v>
      </c>
      <c r="AK66" s="17"/>
    </row>
    <row r="67" spans="1:44" ht="18" customHeight="1">
      <c r="A67" s="5"/>
      <c r="B67" s="41"/>
      <c r="C67" s="34" t="s">
        <v>46</v>
      </c>
      <c r="D67" s="74"/>
      <c r="E67" s="75"/>
      <c r="F67" s="76"/>
      <c r="G67" s="76"/>
      <c r="H67" s="76"/>
      <c r="I67" s="76"/>
      <c r="J67" s="76"/>
      <c r="K67" s="76"/>
      <c r="L67" s="75"/>
      <c r="M67" s="76"/>
      <c r="N67" s="76"/>
      <c r="O67" s="76"/>
      <c r="P67" s="76"/>
      <c r="Q67" s="76"/>
      <c r="R67" s="76"/>
      <c r="S67" s="75"/>
      <c r="T67" s="76"/>
      <c r="U67" s="76"/>
      <c r="V67" s="76"/>
      <c r="W67" s="76"/>
      <c r="X67" s="76"/>
      <c r="Y67" s="76"/>
      <c r="Z67" s="75"/>
      <c r="AA67" s="76"/>
      <c r="AB67" s="76"/>
      <c r="AC67" s="75"/>
      <c r="AD67" s="76"/>
      <c r="AE67" s="76"/>
      <c r="AF67" s="76"/>
      <c r="AG67" s="75"/>
      <c r="AH67" s="77"/>
      <c r="AI67" s="94">
        <f t="shared" si="8"/>
        <v>0</v>
      </c>
      <c r="AJ67" s="95">
        <f>AI67*1</f>
        <v>0</v>
      </c>
      <c r="AK67" s="17"/>
    </row>
    <row r="68" spans="1:44" ht="18" customHeight="1">
      <c r="A68" s="38"/>
      <c r="B68" s="43"/>
      <c r="C68" s="35" t="s">
        <v>47</v>
      </c>
      <c r="D68" s="78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80"/>
      <c r="AF68" s="79"/>
      <c r="AG68" s="79"/>
      <c r="AH68" s="81"/>
      <c r="AI68" s="92">
        <f t="shared" si="8"/>
        <v>0</v>
      </c>
      <c r="AJ68" s="93">
        <f>AI68*1</f>
        <v>0</v>
      </c>
      <c r="AK68" s="20"/>
    </row>
    <row r="69" spans="1:44" ht="18" customHeight="1">
      <c r="A69" s="21">
        <f>A60+1</f>
        <v>8</v>
      </c>
      <c r="B69" s="41" t="e">
        <f>_xlfn.XLOOKUP(A69,#REF!,#REF!)</f>
        <v>#REF!</v>
      </c>
      <c r="C69" s="22" t="s">
        <v>9</v>
      </c>
      <c r="D69" s="53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56"/>
      <c r="AI69" s="96"/>
      <c r="AJ69" s="97"/>
      <c r="AK69" s="518">
        <f>COUNT(D69:AH69)</f>
        <v>0</v>
      </c>
      <c r="AL69" s="111" t="str">
        <f>C71</f>
        <v>기본근로</v>
      </c>
      <c r="AM69" s="111" t="str">
        <f>C76</f>
        <v>주휴일</v>
      </c>
      <c r="AN69" s="111" t="str">
        <f>C72</f>
        <v>고정연장</v>
      </c>
      <c r="AO69" s="111" t="str">
        <f>C73</f>
        <v>특별연장</v>
      </c>
      <c r="AP69" s="111" t="str">
        <f>C74</f>
        <v>야간근로</v>
      </c>
      <c r="AQ69" s="111" t="str">
        <f>C75</f>
        <v>휴일근로</v>
      </c>
      <c r="AR69" s="111" t="str">
        <f>C77</f>
        <v>연차휴가</v>
      </c>
    </row>
    <row r="70" spans="1:44" ht="18" customHeight="1">
      <c r="A70" s="45"/>
      <c r="B70" s="41" t="e">
        <f>_xlfn.XLOOKUP(A69,#REF!,#REF!)</f>
        <v>#REF!</v>
      </c>
      <c r="C70" s="9" t="s">
        <v>10</v>
      </c>
      <c r="D70" s="52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55"/>
      <c r="AI70" s="98"/>
      <c r="AJ70" s="99"/>
      <c r="AK70" s="519"/>
      <c r="AL70" s="51">
        <f>AI71</f>
        <v>0</v>
      </c>
      <c r="AM70" s="51">
        <f>AI76</f>
        <v>0</v>
      </c>
      <c r="AN70" s="51">
        <f>AI72</f>
        <v>0</v>
      </c>
      <c r="AO70" s="51">
        <f>AI73</f>
        <v>0</v>
      </c>
      <c r="AP70" s="51">
        <f>AI74</f>
        <v>0</v>
      </c>
      <c r="AQ70" s="51">
        <f>AI75</f>
        <v>0</v>
      </c>
      <c r="AR70" s="111">
        <f>AI77</f>
        <v>0</v>
      </c>
    </row>
    <row r="71" spans="1:44" ht="18" customHeight="1">
      <c r="A71" s="5"/>
      <c r="B71" s="42" t="e">
        <f>_xlfn.XLOOKUP(A69,#REF!,#REF!)</f>
        <v>#REF!</v>
      </c>
      <c r="C71" s="13" t="s">
        <v>7</v>
      </c>
      <c r="D71" s="57"/>
      <c r="E71" s="58"/>
      <c r="F71" s="59"/>
      <c r="G71" s="59"/>
      <c r="H71" s="60"/>
      <c r="I71" s="59"/>
      <c r="J71" s="60"/>
      <c r="K71" s="59"/>
      <c r="L71" s="58"/>
      <c r="M71" s="59"/>
      <c r="N71" s="59"/>
      <c r="O71" s="59"/>
      <c r="P71" s="59"/>
      <c r="Q71" s="59"/>
      <c r="R71" s="59"/>
      <c r="S71" s="58"/>
      <c r="T71" s="59"/>
      <c r="U71" s="59"/>
      <c r="V71" s="59"/>
      <c r="W71" s="59"/>
      <c r="X71" s="59"/>
      <c r="Y71" s="59"/>
      <c r="Z71" s="58"/>
      <c r="AA71" s="59"/>
      <c r="AB71" s="59"/>
      <c r="AC71" s="59"/>
      <c r="AD71" s="59"/>
      <c r="AE71" s="59"/>
      <c r="AF71" s="59"/>
      <c r="AG71" s="58"/>
      <c r="AH71" s="61"/>
      <c r="AI71" s="89">
        <f t="shared" ref="AI71:AI77" si="9">SUM(D71:AH71)</f>
        <v>0</v>
      </c>
      <c r="AJ71" s="86">
        <f>AI71*1</f>
        <v>0</v>
      </c>
      <c r="AK71" s="14" t="s">
        <v>23</v>
      </c>
    </row>
    <row r="72" spans="1:44" ht="18" customHeight="1">
      <c r="A72" s="5"/>
      <c r="B72" s="41" t="e">
        <f>_xlfn.XLOOKUP(A69,#REF!,#REF!)</f>
        <v>#REF!</v>
      </c>
      <c r="C72" s="16" t="s">
        <v>16</v>
      </c>
      <c r="D72" s="62"/>
      <c r="E72" s="63"/>
      <c r="F72" s="64"/>
      <c r="G72" s="64"/>
      <c r="H72" s="64"/>
      <c r="I72" s="64"/>
      <c r="J72" s="64"/>
      <c r="K72" s="64"/>
      <c r="L72" s="63"/>
      <c r="M72" s="64"/>
      <c r="N72" s="64"/>
      <c r="O72" s="64"/>
      <c r="P72" s="64"/>
      <c r="Q72" s="64"/>
      <c r="R72" s="64"/>
      <c r="S72" s="63"/>
      <c r="T72" s="64"/>
      <c r="U72" s="64"/>
      <c r="V72" s="64"/>
      <c r="W72" s="64"/>
      <c r="X72" s="64"/>
      <c r="Y72" s="64"/>
      <c r="Z72" s="63"/>
      <c r="AA72" s="64"/>
      <c r="AB72" s="64"/>
      <c r="AC72" s="64"/>
      <c r="AD72" s="64"/>
      <c r="AE72" s="64"/>
      <c r="AF72" s="64"/>
      <c r="AG72" s="63"/>
      <c r="AH72" s="65"/>
      <c r="AI72" s="100">
        <f t="shared" si="9"/>
        <v>0</v>
      </c>
      <c r="AJ72" s="88">
        <f>AI72*1.5</f>
        <v>0</v>
      </c>
      <c r="AK72" s="17" t="s">
        <v>24</v>
      </c>
    </row>
    <row r="73" spans="1:44" ht="18" customHeight="1">
      <c r="A73" s="5"/>
      <c r="B73" s="132"/>
      <c r="C73" s="13" t="s">
        <v>50</v>
      </c>
      <c r="D73" s="57"/>
      <c r="E73" s="58"/>
      <c r="F73" s="59"/>
      <c r="G73" s="59"/>
      <c r="H73" s="59"/>
      <c r="I73" s="59"/>
      <c r="J73" s="59"/>
      <c r="K73" s="59"/>
      <c r="L73" s="58"/>
      <c r="M73" s="59"/>
      <c r="N73" s="59"/>
      <c r="O73" s="59"/>
      <c r="P73" s="59"/>
      <c r="Q73" s="59"/>
      <c r="R73" s="59"/>
      <c r="S73" s="58"/>
      <c r="T73" s="59"/>
      <c r="U73" s="59"/>
      <c r="V73" s="59"/>
      <c r="W73" s="59"/>
      <c r="X73" s="59"/>
      <c r="Y73" s="59"/>
      <c r="Z73" s="58"/>
      <c r="AA73" s="59"/>
      <c r="AB73" s="59"/>
      <c r="AC73" s="58"/>
      <c r="AD73" s="59"/>
      <c r="AE73" s="59"/>
      <c r="AF73" s="59"/>
      <c r="AG73" s="58"/>
      <c r="AH73" s="61"/>
      <c r="AI73" s="89">
        <f t="shared" si="9"/>
        <v>0</v>
      </c>
      <c r="AJ73" s="86">
        <f>AI73*1.5</f>
        <v>0</v>
      </c>
      <c r="AK73" s="14"/>
    </row>
    <row r="74" spans="1:44" ht="18" customHeight="1">
      <c r="A74" s="5"/>
      <c r="B74" s="54"/>
      <c r="C74" s="18" t="s">
        <v>8</v>
      </c>
      <c r="D74" s="66"/>
      <c r="E74" s="67"/>
      <c r="F74" s="68"/>
      <c r="G74" s="68"/>
      <c r="H74" s="68"/>
      <c r="I74" s="68"/>
      <c r="J74" s="68"/>
      <c r="K74" s="68"/>
      <c r="L74" s="67"/>
      <c r="M74" s="68"/>
      <c r="N74" s="68"/>
      <c r="O74" s="68"/>
      <c r="P74" s="68"/>
      <c r="Q74" s="68"/>
      <c r="R74" s="68"/>
      <c r="S74" s="67"/>
      <c r="T74" s="68"/>
      <c r="U74" s="68"/>
      <c r="V74" s="68"/>
      <c r="W74" s="68"/>
      <c r="X74" s="68"/>
      <c r="Y74" s="68"/>
      <c r="Z74" s="67"/>
      <c r="AA74" s="68"/>
      <c r="AB74" s="68"/>
      <c r="AC74" s="67"/>
      <c r="AD74" s="68"/>
      <c r="AE74" s="68"/>
      <c r="AF74" s="68"/>
      <c r="AG74" s="67"/>
      <c r="AH74" s="69"/>
      <c r="AI74" s="90">
        <f t="shared" si="9"/>
        <v>0</v>
      </c>
      <c r="AJ74" s="91">
        <f>AI74*0.5</f>
        <v>0</v>
      </c>
      <c r="AK74" s="17"/>
    </row>
    <row r="75" spans="1:44" ht="18" customHeight="1">
      <c r="A75" s="5"/>
      <c r="B75" s="6"/>
      <c r="C75" s="19" t="s">
        <v>3</v>
      </c>
      <c r="D75" s="70"/>
      <c r="E75" s="71"/>
      <c r="F75" s="72"/>
      <c r="G75" s="72"/>
      <c r="H75" s="72"/>
      <c r="I75" s="72"/>
      <c r="J75" s="72"/>
      <c r="K75" s="72"/>
      <c r="L75" s="71"/>
      <c r="M75" s="72"/>
      <c r="N75" s="72"/>
      <c r="O75" s="72"/>
      <c r="P75" s="72"/>
      <c r="Q75" s="72"/>
      <c r="R75" s="72"/>
      <c r="S75" s="71"/>
      <c r="T75" s="72"/>
      <c r="U75" s="72"/>
      <c r="V75" s="72"/>
      <c r="W75" s="72"/>
      <c r="X75" s="72"/>
      <c r="Y75" s="72"/>
      <c r="Z75" s="71"/>
      <c r="AA75" s="72"/>
      <c r="AB75" s="72"/>
      <c r="AC75" s="71"/>
      <c r="AD75" s="72"/>
      <c r="AE75" s="72"/>
      <c r="AF75" s="72"/>
      <c r="AG75" s="71"/>
      <c r="AH75" s="73"/>
      <c r="AI75" s="92">
        <f t="shared" si="9"/>
        <v>0</v>
      </c>
      <c r="AJ75" s="93">
        <f>AI75*1.5</f>
        <v>0</v>
      </c>
      <c r="AK75" s="17"/>
    </row>
    <row r="76" spans="1:44" ht="18" customHeight="1">
      <c r="A76" s="5"/>
      <c r="B76" s="41"/>
      <c r="C76" s="34" t="s">
        <v>46</v>
      </c>
      <c r="D76" s="74"/>
      <c r="E76" s="75"/>
      <c r="F76" s="76"/>
      <c r="G76" s="76"/>
      <c r="H76" s="76"/>
      <c r="I76" s="76"/>
      <c r="J76" s="76"/>
      <c r="K76" s="76"/>
      <c r="L76" s="75"/>
      <c r="M76" s="76"/>
      <c r="N76" s="76"/>
      <c r="O76" s="76"/>
      <c r="P76" s="76"/>
      <c r="Q76" s="76"/>
      <c r="R76" s="76"/>
      <c r="S76" s="75"/>
      <c r="T76" s="76"/>
      <c r="U76" s="76"/>
      <c r="V76" s="76"/>
      <c r="W76" s="76"/>
      <c r="X76" s="76"/>
      <c r="Y76" s="76"/>
      <c r="Z76" s="75"/>
      <c r="AA76" s="76"/>
      <c r="AB76" s="76"/>
      <c r="AC76" s="75"/>
      <c r="AD76" s="76"/>
      <c r="AE76" s="76"/>
      <c r="AF76" s="76"/>
      <c r="AG76" s="75"/>
      <c r="AH76" s="77"/>
      <c r="AI76" s="94">
        <f t="shared" si="9"/>
        <v>0</v>
      </c>
      <c r="AJ76" s="95">
        <f>AI76*1</f>
        <v>0</v>
      </c>
      <c r="AK76" s="17"/>
    </row>
    <row r="77" spans="1:44" ht="18" customHeight="1">
      <c r="A77" s="38"/>
      <c r="B77" s="43"/>
      <c r="C77" s="35" t="s">
        <v>47</v>
      </c>
      <c r="D77" s="78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80"/>
      <c r="AF77" s="79"/>
      <c r="AG77" s="79"/>
      <c r="AH77" s="81"/>
      <c r="AI77" s="92">
        <f t="shared" si="9"/>
        <v>0</v>
      </c>
      <c r="AJ77" s="93">
        <f>AI77*1</f>
        <v>0</v>
      </c>
      <c r="AK77" s="20"/>
    </row>
    <row r="78" spans="1:44" ht="18" customHeight="1">
      <c r="A78" s="21">
        <f>A69+1</f>
        <v>9</v>
      </c>
      <c r="B78" s="41" t="e">
        <f>_xlfn.XLOOKUP(A78,#REF!,#REF!)</f>
        <v>#REF!</v>
      </c>
      <c r="C78" s="22" t="s">
        <v>9</v>
      </c>
      <c r="D78" s="53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56"/>
      <c r="AI78" s="96"/>
      <c r="AJ78" s="97"/>
      <c r="AK78" s="518">
        <f>COUNT(D78:AH78)</f>
        <v>0</v>
      </c>
      <c r="AL78" s="111" t="str">
        <f>C80</f>
        <v>기본근로</v>
      </c>
      <c r="AM78" s="111" t="str">
        <f>C85</f>
        <v>주휴일</v>
      </c>
      <c r="AN78" s="111" t="str">
        <f>C81</f>
        <v>고정연장</v>
      </c>
      <c r="AO78" s="111" t="str">
        <f>C82</f>
        <v>특별연장</v>
      </c>
      <c r="AP78" s="111" t="str">
        <f>C83</f>
        <v>야간근로</v>
      </c>
      <c r="AQ78" s="111" t="str">
        <f>C84</f>
        <v>휴일근로</v>
      </c>
      <c r="AR78" s="111" t="str">
        <f>C86</f>
        <v>연차휴가</v>
      </c>
    </row>
    <row r="79" spans="1:44" ht="18" customHeight="1">
      <c r="A79" s="45"/>
      <c r="B79" s="41" t="e">
        <f>_xlfn.XLOOKUP(A78,#REF!,#REF!)</f>
        <v>#REF!</v>
      </c>
      <c r="C79" s="9" t="s">
        <v>10</v>
      </c>
      <c r="D79" s="52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55"/>
      <c r="AI79" s="98"/>
      <c r="AJ79" s="99"/>
      <c r="AK79" s="519"/>
      <c r="AL79" s="51">
        <f>AI80</f>
        <v>0</v>
      </c>
      <c r="AM79" s="51">
        <f>AI85</f>
        <v>0</v>
      </c>
      <c r="AN79" s="51">
        <f>AI81</f>
        <v>0</v>
      </c>
      <c r="AO79" s="51">
        <f>AI82</f>
        <v>0</v>
      </c>
      <c r="AP79" s="51">
        <f>AI83</f>
        <v>0</v>
      </c>
      <c r="AQ79" s="51">
        <f>AI84</f>
        <v>0</v>
      </c>
      <c r="AR79" s="111">
        <f>AI86</f>
        <v>0</v>
      </c>
    </row>
    <row r="80" spans="1:44" ht="18" customHeight="1">
      <c r="A80" s="5"/>
      <c r="B80" s="42" t="e">
        <f>_xlfn.XLOOKUP(A78,#REF!,#REF!)</f>
        <v>#REF!</v>
      </c>
      <c r="C80" s="13" t="s">
        <v>7</v>
      </c>
      <c r="D80" s="57"/>
      <c r="E80" s="58"/>
      <c r="F80" s="59"/>
      <c r="G80" s="59"/>
      <c r="H80" s="60"/>
      <c r="I80" s="59"/>
      <c r="J80" s="60"/>
      <c r="K80" s="59"/>
      <c r="L80" s="58"/>
      <c r="M80" s="59"/>
      <c r="N80" s="59"/>
      <c r="O80" s="59"/>
      <c r="P80" s="59"/>
      <c r="Q80" s="59"/>
      <c r="R80" s="59"/>
      <c r="S80" s="58"/>
      <c r="T80" s="59"/>
      <c r="U80" s="59"/>
      <c r="V80" s="59"/>
      <c r="W80" s="59"/>
      <c r="X80" s="59"/>
      <c r="Y80" s="59"/>
      <c r="Z80" s="58"/>
      <c r="AA80" s="59"/>
      <c r="AB80" s="59"/>
      <c r="AC80" s="59"/>
      <c r="AD80" s="59"/>
      <c r="AE80" s="59"/>
      <c r="AF80" s="59"/>
      <c r="AG80" s="58"/>
      <c r="AH80" s="61"/>
      <c r="AI80" s="89">
        <f t="shared" ref="AI80:AI86" si="10">SUM(D80:AH80)</f>
        <v>0</v>
      </c>
      <c r="AJ80" s="86">
        <f>AI80*1</f>
        <v>0</v>
      </c>
      <c r="AK80" s="14" t="s">
        <v>23</v>
      </c>
    </row>
    <row r="81" spans="1:44" ht="18" customHeight="1">
      <c r="A81" s="5"/>
      <c r="B81" s="41" t="e">
        <f>_xlfn.XLOOKUP(A78,#REF!,#REF!)</f>
        <v>#REF!</v>
      </c>
      <c r="C81" s="16" t="s">
        <v>16</v>
      </c>
      <c r="D81" s="62"/>
      <c r="E81" s="63"/>
      <c r="F81" s="64"/>
      <c r="G81" s="64"/>
      <c r="H81" s="64"/>
      <c r="I81" s="64"/>
      <c r="J81" s="64"/>
      <c r="K81" s="64"/>
      <c r="L81" s="63"/>
      <c r="M81" s="64"/>
      <c r="N81" s="64"/>
      <c r="O81" s="64"/>
      <c r="P81" s="64"/>
      <c r="Q81" s="64"/>
      <c r="R81" s="64"/>
      <c r="S81" s="63"/>
      <c r="T81" s="64"/>
      <c r="U81" s="64"/>
      <c r="V81" s="64"/>
      <c r="W81" s="64"/>
      <c r="X81" s="64"/>
      <c r="Y81" s="64"/>
      <c r="Z81" s="63"/>
      <c r="AA81" s="64"/>
      <c r="AB81" s="64"/>
      <c r="AC81" s="64"/>
      <c r="AD81" s="64"/>
      <c r="AE81" s="64"/>
      <c r="AF81" s="64"/>
      <c r="AG81" s="63"/>
      <c r="AH81" s="65"/>
      <c r="AI81" s="100">
        <f t="shared" si="10"/>
        <v>0</v>
      </c>
      <c r="AJ81" s="88">
        <f>AI81*1.5</f>
        <v>0</v>
      </c>
      <c r="AK81" s="17" t="s">
        <v>24</v>
      </c>
    </row>
    <row r="82" spans="1:44" ht="18" customHeight="1">
      <c r="A82" s="5"/>
      <c r="B82" s="132"/>
      <c r="C82" s="13" t="s">
        <v>50</v>
      </c>
      <c r="D82" s="57"/>
      <c r="E82" s="58"/>
      <c r="F82" s="59"/>
      <c r="G82" s="59"/>
      <c r="H82" s="59"/>
      <c r="I82" s="59"/>
      <c r="J82" s="59"/>
      <c r="K82" s="59"/>
      <c r="L82" s="58"/>
      <c r="M82" s="59"/>
      <c r="N82" s="59"/>
      <c r="O82" s="59"/>
      <c r="P82" s="59"/>
      <c r="Q82" s="59"/>
      <c r="R82" s="59"/>
      <c r="S82" s="58"/>
      <c r="T82" s="59"/>
      <c r="U82" s="59"/>
      <c r="V82" s="59"/>
      <c r="W82" s="59"/>
      <c r="X82" s="59"/>
      <c r="Y82" s="59"/>
      <c r="Z82" s="58"/>
      <c r="AA82" s="59"/>
      <c r="AB82" s="59"/>
      <c r="AC82" s="58"/>
      <c r="AD82" s="59"/>
      <c r="AE82" s="59"/>
      <c r="AF82" s="59"/>
      <c r="AG82" s="58"/>
      <c r="AH82" s="61"/>
      <c r="AI82" s="89">
        <f t="shared" si="10"/>
        <v>0</v>
      </c>
      <c r="AJ82" s="86">
        <f>AI82*1.5</f>
        <v>0</v>
      </c>
      <c r="AK82" s="14"/>
    </row>
    <row r="83" spans="1:44" ht="18" customHeight="1">
      <c r="A83" s="5"/>
      <c r="B83" s="54"/>
      <c r="C83" s="18" t="s">
        <v>8</v>
      </c>
      <c r="D83" s="66"/>
      <c r="E83" s="67"/>
      <c r="F83" s="68"/>
      <c r="G83" s="68"/>
      <c r="H83" s="68"/>
      <c r="I83" s="68"/>
      <c r="J83" s="68"/>
      <c r="K83" s="68"/>
      <c r="L83" s="67"/>
      <c r="M83" s="68"/>
      <c r="N83" s="68"/>
      <c r="O83" s="68"/>
      <c r="P83" s="68"/>
      <c r="Q83" s="68"/>
      <c r="R83" s="68"/>
      <c r="S83" s="67"/>
      <c r="T83" s="68"/>
      <c r="U83" s="68"/>
      <c r="V83" s="68"/>
      <c r="W83" s="68"/>
      <c r="X83" s="68"/>
      <c r="Y83" s="68"/>
      <c r="Z83" s="67"/>
      <c r="AA83" s="68"/>
      <c r="AB83" s="68"/>
      <c r="AC83" s="67"/>
      <c r="AD83" s="68"/>
      <c r="AE83" s="68"/>
      <c r="AF83" s="68"/>
      <c r="AG83" s="67"/>
      <c r="AH83" s="69"/>
      <c r="AI83" s="90">
        <f t="shared" si="10"/>
        <v>0</v>
      </c>
      <c r="AJ83" s="91">
        <f>AI83*0.5</f>
        <v>0</v>
      </c>
      <c r="AK83" s="17"/>
    </row>
    <row r="84" spans="1:44" ht="18" customHeight="1">
      <c r="A84" s="5"/>
      <c r="B84" s="6"/>
      <c r="C84" s="19" t="s">
        <v>3</v>
      </c>
      <c r="D84" s="70"/>
      <c r="E84" s="71"/>
      <c r="F84" s="72"/>
      <c r="G84" s="72"/>
      <c r="H84" s="72"/>
      <c r="I84" s="72"/>
      <c r="J84" s="72"/>
      <c r="K84" s="72"/>
      <c r="L84" s="71"/>
      <c r="M84" s="72"/>
      <c r="N84" s="72"/>
      <c r="O84" s="72"/>
      <c r="P84" s="72"/>
      <c r="Q84" s="72"/>
      <c r="R84" s="72"/>
      <c r="S84" s="71"/>
      <c r="T84" s="72"/>
      <c r="U84" s="72"/>
      <c r="V84" s="72"/>
      <c r="W84" s="72"/>
      <c r="X84" s="72"/>
      <c r="Y84" s="72"/>
      <c r="Z84" s="71"/>
      <c r="AA84" s="72"/>
      <c r="AB84" s="72"/>
      <c r="AC84" s="71"/>
      <c r="AD84" s="72"/>
      <c r="AE84" s="72"/>
      <c r="AF84" s="72"/>
      <c r="AG84" s="71"/>
      <c r="AH84" s="73"/>
      <c r="AI84" s="92">
        <f t="shared" si="10"/>
        <v>0</v>
      </c>
      <c r="AJ84" s="93">
        <f>AI84*1.5</f>
        <v>0</v>
      </c>
      <c r="AK84" s="17"/>
    </row>
    <row r="85" spans="1:44" ht="18" customHeight="1">
      <c r="A85" s="5"/>
      <c r="B85" s="41"/>
      <c r="C85" s="34" t="s">
        <v>46</v>
      </c>
      <c r="D85" s="74"/>
      <c r="E85" s="75"/>
      <c r="F85" s="76"/>
      <c r="G85" s="76"/>
      <c r="H85" s="76"/>
      <c r="I85" s="76"/>
      <c r="J85" s="76"/>
      <c r="K85" s="76"/>
      <c r="L85" s="75"/>
      <c r="M85" s="76"/>
      <c r="N85" s="76"/>
      <c r="O85" s="76"/>
      <c r="P85" s="76"/>
      <c r="Q85" s="76"/>
      <c r="R85" s="76"/>
      <c r="S85" s="75"/>
      <c r="T85" s="76"/>
      <c r="U85" s="76"/>
      <c r="V85" s="76"/>
      <c r="W85" s="76"/>
      <c r="X85" s="76"/>
      <c r="Y85" s="76"/>
      <c r="Z85" s="75"/>
      <c r="AA85" s="76"/>
      <c r="AB85" s="76"/>
      <c r="AC85" s="75"/>
      <c r="AD85" s="76"/>
      <c r="AE85" s="76"/>
      <c r="AF85" s="76"/>
      <c r="AG85" s="75"/>
      <c r="AH85" s="77"/>
      <c r="AI85" s="94">
        <f t="shared" si="10"/>
        <v>0</v>
      </c>
      <c r="AJ85" s="95">
        <f>AI85*1</f>
        <v>0</v>
      </c>
      <c r="AK85" s="17"/>
    </row>
    <row r="86" spans="1:44" ht="18" customHeight="1">
      <c r="A86" s="38"/>
      <c r="B86" s="43"/>
      <c r="C86" s="35" t="s">
        <v>47</v>
      </c>
      <c r="D86" s="78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80"/>
      <c r="AF86" s="79"/>
      <c r="AG86" s="79"/>
      <c r="AH86" s="81"/>
      <c r="AI86" s="92">
        <f t="shared" si="10"/>
        <v>0</v>
      </c>
      <c r="AJ86" s="93">
        <f>AI86*1</f>
        <v>0</v>
      </c>
      <c r="AK86" s="20"/>
    </row>
    <row r="87" spans="1:44" ht="18" customHeight="1">
      <c r="A87" s="21">
        <f>A78+1</f>
        <v>10</v>
      </c>
      <c r="B87" s="41" t="e">
        <f>_xlfn.XLOOKUP(A87,#REF!,#REF!)</f>
        <v>#REF!</v>
      </c>
      <c r="C87" s="22" t="s">
        <v>9</v>
      </c>
      <c r="D87" s="53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56"/>
      <c r="AI87" s="96"/>
      <c r="AJ87" s="97"/>
      <c r="AK87" s="518">
        <f>COUNT(D87:AH87)</f>
        <v>0</v>
      </c>
      <c r="AL87" s="111" t="str">
        <f>C89</f>
        <v>기본근로</v>
      </c>
      <c r="AM87" s="111" t="str">
        <f>C94</f>
        <v>주휴일</v>
      </c>
      <c r="AN87" s="111" t="str">
        <f>C90</f>
        <v>고정연장</v>
      </c>
      <c r="AO87" s="111" t="str">
        <f>C91</f>
        <v>특별연장</v>
      </c>
      <c r="AP87" s="111" t="str">
        <f>C92</f>
        <v>야간근로</v>
      </c>
      <c r="AQ87" s="111" t="str">
        <f>C93</f>
        <v>휴일근로</v>
      </c>
      <c r="AR87" s="111" t="str">
        <f>C95</f>
        <v>연차휴가</v>
      </c>
    </row>
    <row r="88" spans="1:44" ht="18" customHeight="1">
      <c r="A88" s="45"/>
      <c r="B88" s="41" t="e">
        <f>_xlfn.XLOOKUP(A87,#REF!,#REF!)</f>
        <v>#REF!</v>
      </c>
      <c r="C88" s="9" t="s">
        <v>10</v>
      </c>
      <c r="D88" s="52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55"/>
      <c r="AI88" s="98"/>
      <c r="AJ88" s="99"/>
      <c r="AK88" s="519"/>
      <c r="AL88" s="51">
        <f>AI89</f>
        <v>0</v>
      </c>
      <c r="AM88" s="51">
        <f>AI94</f>
        <v>0</v>
      </c>
      <c r="AN88" s="51">
        <f>AI90</f>
        <v>0</v>
      </c>
      <c r="AO88" s="51">
        <f>AI91</f>
        <v>0</v>
      </c>
      <c r="AP88" s="51">
        <f>AI92</f>
        <v>0</v>
      </c>
      <c r="AQ88" s="51">
        <f>AI93</f>
        <v>0</v>
      </c>
      <c r="AR88" s="111">
        <f>AI95</f>
        <v>0</v>
      </c>
    </row>
    <row r="89" spans="1:44" ht="18" customHeight="1">
      <c r="A89" s="5"/>
      <c r="B89" s="42" t="e">
        <f>_xlfn.XLOOKUP(A87,#REF!,#REF!)</f>
        <v>#REF!</v>
      </c>
      <c r="C89" s="13" t="s">
        <v>7</v>
      </c>
      <c r="D89" s="57"/>
      <c r="E89" s="58"/>
      <c r="F89" s="59"/>
      <c r="G89" s="59"/>
      <c r="H89" s="60"/>
      <c r="I89" s="59"/>
      <c r="J89" s="60"/>
      <c r="K89" s="59"/>
      <c r="L89" s="58"/>
      <c r="M89" s="59"/>
      <c r="N89" s="59"/>
      <c r="O89" s="59"/>
      <c r="P89" s="59"/>
      <c r="Q89" s="59"/>
      <c r="R89" s="59"/>
      <c r="S89" s="58"/>
      <c r="T89" s="59"/>
      <c r="U89" s="59"/>
      <c r="V89" s="59"/>
      <c r="W89" s="59"/>
      <c r="X89" s="59"/>
      <c r="Y89" s="59"/>
      <c r="Z89" s="58"/>
      <c r="AA89" s="59"/>
      <c r="AB89" s="59"/>
      <c r="AC89" s="59"/>
      <c r="AD89" s="59"/>
      <c r="AE89" s="59"/>
      <c r="AF89" s="59"/>
      <c r="AG89" s="58"/>
      <c r="AH89" s="61"/>
      <c r="AI89" s="89">
        <f t="shared" ref="AI89:AI95" si="11">SUM(D89:AH89)</f>
        <v>0</v>
      </c>
      <c r="AJ89" s="86">
        <f>AI89*1</f>
        <v>0</v>
      </c>
      <c r="AK89" s="14" t="s">
        <v>23</v>
      </c>
    </row>
    <row r="90" spans="1:44" ht="18" customHeight="1">
      <c r="A90" s="5"/>
      <c r="B90" s="41" t="e">
        <f>_xlfn.XLOOKUP(A87,#REF!,#REF!)</f>
        <v>#REF!</v>
      </c>
      <c r="C90" s="16" t="s">
        <v>16</v>
      </c>
      <c r="D90" s="62"/>
      <c r="E90" s="63"/>
      <c r="F90" s="64"/>
      <c r="G90" s="64"/>
      <c r="H90" s="64"/>
      <c r="I90" s="64"/>
      <c r="J90" s="64"/>
      <c r="K90" s="64"/>
      <c r="L90" s="63"/>
      <c r="M90" s="64"/>
      <c r="N90" s="64"/>
      <c r="O90" s="64"/>
      <c r="P90" s="64"/>
      <c r="Q90" s="64"/>
      <c r="R90" s="64"/>
      <c r="S90" s="63"/>
      <c r="T90" s="64"/>
      <c r="U90" s="64"/>
      <c r="V90" s="64"/>
      <c r="W90" s="64"/>
      <c r="X90" s="64"/>
      <c r="Y90" s="64"/>
      <c r="Z90" s="63"/>
      <c r="AA90" s="64"/>
      <c r="AB90" s="64"/>
      <c r="AC90" s="64"/>
      <c r="AD90" s="64"/>
      <c r="AE90" s="64"/>
      <c r="AF90" s="64"/>
      <c r="AG90" s="63"/>
      <c r="AH90" s="65"/>
      <c r="AI90" s="100">
        <f t="shared" si="11"/>
        <v>0</v>
      </c>
      <c r="AJ90" s="88">
        <f>AI90*1.5</f>
        <v>0</v>
      </c>
      <c r="AK90" s="17" t="s">
        <v>24</v>
      </c>
    </row>
    <row r="91" spans="1:44" ht="18" customHeight="1">
      <c r="A91" s="5"/>
      <c r="B91" s="132"/>
      <c r="C91" s="13" t="s">
        <v>50</v>
      </c>
      <c r="D91" s="57"/>
      <c r="E91" s="58"/>
      <c r="F91" s="59"/>
      <c r="G91" s="59"/>
      <c r="H91" s="59"/>
      <c r="I91" s="59"/>
      <c r="J91" s="59"/>
      <c r="K91" s="59"/>
      <c r="L91" s="58"/>
      <c r="M91" s="59"/>
      <c r="N91" s="59"/>
      <c r="O91" s="59"/>
      <c r="P91" s="59"/>
      <c r="Q91" s="59"/>
      <c r="R91" s="59"/>
      <c r="S91" s="58"/>
      <c r="T91" s="59"/>
      <c r="U91" s="59"/>
      <c r="V91" s="59"/>
      <c r="W91" s="59"/>
      <c r="X91" s="59"/>
      <c r="Y91" s="59"/>
      <c r="Z91" s="58"/>
      <c r="AA91" s="59"/>
      <c r="AB91" s="59"/>
      <c r="AC91" s="58"/>
      <c r="AD91" s="59"/>
      <c r="AE91" s="59"/>
      <c r="AF91" s="59"/>
      <c r="AG91" s="58"/>
      <c r="AH91" s="61"/>
      <c r="AI91" s="89">
        <f t="shared" si="11"/>
        <v>0</v>
      </c>
      <c r="AJ91" s="86">
        <f>AI91*1.5</f>
        <v>0</v>
      </c>
      <c r="AK91" s="14"/>
    </row>
    <row r="92" spans="1:44" ht="18" customHeight="1">
      <c r="A92" s="5"/>
      <c r="B92" s="54"/>
      <c r="C92" s="18" t="s">
        <v>8</v>
      </c>
      <c r="D92" s="66"/>
      <c r="E92" s="67"/>
      <c r="F92" s="68"/>
      <c r="G92" s="68"/>
      <c r="H92" s="68"/>
      <c r="I92" s="68"/>
      <c r="J92" s="68"/>
      <c r="K92" s="68"/>
      <c r="L92" s="67"/>
      <c r="M92" s="68"/>
      <c r="N92" s="68"/>
      <c r="O92" s="68"/>
      <c r="P92" s="68"/>
      <c r="Q92" s="68"/>
      <c r="R92" s="68"/>
      <c r="S92" s="67"/>
      <c r="T92" s="68"/>
      <c r="U92" s="68"/>
      <c r="V92" s="68"/>
      <c r="W92" s="68"/>
      <c r="X92" s="68"/>
      <c r="Y92" s="68"/>
      <c r="Z92" s="67"/>
      <c r="AA92" s="68"/>
      <c r="AB92" s="68"/>
      <c r="AC92" s="67"/>
      <c r="AD92" s="68"/>
      <c r="AE92" s="68"/>
      <c r="AF92" s="68"/>
      <c r="AG92" s="67"/>
      <c r="AH92" s="69"/>
      <c r="AI92" s="90">
        <f t="shared" si="11"/>
        <v>0</v>
      </c>
      <c r="AJ92" s="91">
        <f>AI92*0.5</f>
        <v>0</v>
      </c>
      <c r="AK92" s="17"/>
    </row>
    <row r="93" spans="1:44" ht="18" customHeight="1">
      <c r="A93" s="5"/>
      <c r="B93" s="6"/>
      <c r="C93" s="19" t="s">
        <v>3</v>
      </c>
      <c r="D93" s="70"/>
      <c r="E93" s="71"/>
      <c r="F93" s="72"/>
      <c r="G93" s="72"/>
      <c r="H93" s="72"/>
      <c r="I93" s="72"/>
      <c r="J93" s="72"/>
      <c r="K93" s="72"/>
      <c r="L93" s="71"/>
      <c r="M93" s="72"/>
      <c r="N93" s="72"/>
      <c r="O93" s="72"/>
      <c r="P93" s="72"/>
      <c r="Q93" s="72"/>
      <c r="R93" s="72"/>
      <c r="S93" s="71"/>
      <c r="T93" s="72"/>
      <c r="U93" s="72"/>
      <c r="V93" s="72"/>
      <c r="W93" s="72"/>
      <c r="X93" s="72"/>
      <c r="Y93" s="72"/>
      <c r="Z93" s="71"/>
      <c r="AA93" s="72"/>
      <c r="AB93" s="72"/>
      <c r="AC93" s="71"/>
      <c r="AD93" s="72"/>
      <c r="AE93" s="72"/>
      <c r="AF93" s="72"/>
      <c r="AG93" s="71"/>
      <c r="AH93" s="73"/>
      <c r="AI93" s="92">
        <f t="shared" si="11"/>
        <v>0</v>
      </c>
      <c r="AJ93" s="93">
        <f>AI93*1.5</f>
        <v>0</v>
      </c>
      <c r="AK93" s="17"/>
    </row>
    <row r="94" spans="1:44" ht="18" customHeight="1">
      <c r="A94" s="5"/>
      <c r="B94" s="41"/>
      <c r="C94" s="34" t="s">
        <v>46</v>
      </c>
      <c r="D94" s="74"/>
      <c r="E94" s="75"/>
      <c r="F94" s="76"/>
      <c r="G94" s="76"/>
      <c r="H94" s="76"/>
      <c r="I94" s="76"/>
      <c r="J94" s="76"/>
      <c r="K94" s="76"/>
      <c r="L94" s="75"/>
      <c r="M94" s="76"/>
      <c r="N94" s="76"/>
      <c r="O94" s="76"/>
      <c r="P94" s="76"/>
      <c r="Q94" s="76"/>
      <c r="R94" s="76"/>
      <c r="S94" s="75"/>
      <c r="T94" s="76"/>
      <c r="U94" s="76"/>
      <c r="V94" s="76"/>
      <c r="W94" s="76"/>
      <c r="X94" s="76"/>
      <c r="Y94" s="76"/>
      <c r="Z94" s="75"/>
      <c r="AA94" s="76"/>
      <c r="AB94" s="76"/>
      <c r="AC94" s="75"/>
      <c r="AD94" s="76"/>
      <c r="AE94" s="76"/>
      <c r="AF94" s="76"/>
      <c r="AG94" s="75"/>
      <c r="AH94" s="77"/>
      <c r="AI94" s="94">
        <f t="shared" si="11"/>
        <v>0</v>
      </c>
      <c r="AJ94" s="95">
        <f>AI94*1</f>
        <v>0</v>
      </c>
      <c r="AK94" s="17"/>
    </row>
    <row r="95" spans="1:44" ht="18" customHeight="1" thickBot="1">
      <c r="A95" s="39"/>
      <c r="B95" s="44"/>
      <c r="C95" s="40" t="s">
        <v>47</v>
      </c>
      <c r="D95" s="82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4"/>
      <c r="AF95" s="83"/>
      <c r="AG95" s="83"/>
      <c r="AH95" s="106"/>
      <c r="AI95" s="101">
        <f t="shared" si="11"/>
        <v>0</v>
      </c>
      <c r="AJ95" s="102">
        <f>AI95*1</f>
        <v>0</v>
      </c>
      <c r="AK95" s="24"/>
    </row>
    <row r="96" spans="1:44" ht="18" customHeight="1">
      <c r="A96" s="21">
        <f>A87+1</f>
        <v>11</v>
      </c>
      <c r="B96" s="41" t="e">
        <f>_xlfn.XLOOKUP(A96,#REF!,#REF!)</f>
        <v>#REF!</v>
      </c>
      <c r="C96" s="22" t="s">
        <v>9</v>
      </c>
      <c r="D96" s="53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56"/>
      <c r="AI96" s="96"/>
      <c r="AJ96" s="97"/>
      <c r="AK96" s="518">
        <f>COUNT(D96:AH96)</f>
        <v>0</v>
      </c>
      <c r="AL96" s="111" t="str">
        <f>C98</f>
        <v>기본근로</v>
      </c>
      <c r="AM96" s="111" t="str">
        <f>C103</f>
        <v>주휴일</v>
      </c>
      <c r="AN96" s="111" t="str">
        <f>C99</f>
        <v>고정연장</v>
      </c>
      <c r="AO96" s="111" t="str">
        <f>C100</f>
        <v>특별연장</v>
      </c>
      <c r="AP96" s="111" t="str">
        <f>C101</f>
        <v>야간근로</v>
      </c>
      <c r="AQ96" s="111" t="str">
        <f>C102</f>
        <v>휴일근로</v>
      </c>
      <c r="AR96" s="111" t="str">
        <f>C104</f>
        <v>연차휴가</v>
      </c>
    </row>
    <row r="97" spans="1:44" ht="18" customHeight="1">
      <c r="A97" s="45"/>
      <c r="B97" s="41" t="e">
        <f>_xlfn.XLOOKUP(A96,#REF!,#REF!)</f>
        <v>#REF!</v>
      </c>
      <c r="C97" s="9" t="s">
        <v>10</v>
      </c>
      <c r="D97" s="52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55"/>
      <c r="AI97" s="98"/>
      <c r="AJ97" s="99"/>
      <c r="AK97" s="519"/>
      <c r="AL97" s="51">
        <f>AI98</f>
        <v>0</v>
      </c>
      <c r="AM97" s="51">
        <f>AI103</f>
        <v>0</v>
      </c>
      <c r="AN97" s="51">
        <f>AI99</f>
        <v>0</v>
      </c>
      <c r="AO97" s="51">
        <f>AI100</f>
        <v>0</v>
      </c>
      <c r="AP97" s="51">
        <f>AI101</f>
        <v>0</v>
      </c>
      <c r="AQ97" s="51">
        <f>AI102</f>
        <v>0</v>
      </c>
      <c r="AR97" s="111">
        <f>AI104</f>
        <v>0</v>
      </c>
    </row>
    <row r="98" spans="1:44" ht="18" customHeight="1">
      <c r="A98" s="5"/>
      <c r="B98" s="42" t="e">
        <f>_xlfn.XLOOKUP(A96,#REF!,#REF!)</f>
        <v>#REF!</v>
      </c>
      <c r="C98" s="13" t="s">
        <v>7</v>
      </c>
      <c r="D98" s="57"/>
      <c r="E98" s="58"/>
      <c r="F98" s="59"/>
      <c r="G98" s="59"/>
      <c r="H98" s="60"/>
      <c r="I98" s="59"/>
      <c r="J98" s="60"/>
      <c r="K98" s="59"/>
      <c r="L98" s="58"/>
      <c r="M98" s="59"/>
      <c r="N98" s="59"/>
      <c r="O98" s="59"/>
      <c r="P98" s="59"/>
      <c r="Q98" s="59"/>
      <c r="R98" s="59"/>
      <c r="S98" s="58"/>
      <c r="T98" s="59"/>
      <c r="U98" s="59"/>
      <c r="V98" s="59"/>
      <c r="W98" s="59"/>
      <c r="X98" s="59"/>
      <c r="Y98" s="59"/>
      <c r="Z98" s="58"/>
      <c r="AA98" s="59"/>
      <c r="AB98" s="59"/>
      <c r="AC98" s="59"/>
      <c r="AD98" s="59"/>
      <c r="AE98" s="59"/>
      <c r="AF98" s="59"/>
      <c r="AG98" s="58"/>
      <c r="AH98" s="61"/>
      <c r="AI98" s="89">
        <f t="shared" ref="AI98:AI104" si="12">SUM(D98:AH98)</f>
        <v>0</v>
      </c>
      <c r="AJ98" s="86">
        <f>AI98*1</f>
        <v>0</v>
      </c>
      <c r="AK98" s="14" t="s">
        <v>23</v>
      </c>
    </row>
    <row r="99" spans="1:44" ht="18" customHeight="1">
      <c r="A99" s="5"/>
      <c r="B99" s="41" t="e">
        <f>_xlfn.XLOOKUP(A96,#REF!,#REF!)</f>
        <v>#REF!</v>
      </c>
      <c r="C99" s="16" t="s">
        <v>16</v>
      </c>
      <c r="D99" s="62"/>
      <c r="E99" s="63"/>
      <c r="F99" s="64"/>
      <c r="G99" s="64"/>
      <c r="H99" s="64"/>
      <c r="I99" s="64"/>
      <c r="J99" s="64"/>
      <c r="K99" s="64"/>
      <c r="L99" s="63"/>
      <c r="M99" s="64"/>
      <c r="N99" s="64"/>
      <c r="O99" s="64"/>
      <c r="P99" s="64"/>
      <c r="Q99" s="64"/>
      <c r="R99" s="64"/>
      <c r="S99" s="63"/>
      <c r="T99" s="64"/>
      <c r="U99" s="64"/>
      <c r="V99" s="64"/>
      <c r="W99" s="64"/>
      <c r="X99" s="64"/>
      <c r="Y99" s="64"/>
      <c r="Z99" s="63"/>
      <c r="AA99" s="64"/>
      <c r="AB99" s="64"/>
      <c r="AC99" s="64"/>
      <c r="AD99" s="64"/>
      <c r="AE99" s="64"/>
      <c r="AF99" s="64"/>
      <c r="AG99" s="63"/>
      <c r="AH99" s="65"/>
      <c r="AI99" s="100">
        <f t="shared" si="12"/>
        <v>0</v>
      </c>
      <c r="AJ99" s="88">
        <f>AI99*1.5</f>
        <v>0</v>
      </c>
      <c r="AK99" s="17" t="s">
        <v>24</v>
      </c>
    </row>
    <row r="100" spans="1:44" ht="18" customHeight="1">
      <c r="A100" s="5"/>
      <c r="B100" s="132"/>
      <c r="C100" s="13" t="s">
        <v>50</v>
      </c>
      <c r="D100" s="57"/>
      <c r="E100" s="58"/>
      <c r="F100" s="59"/>
      <c r="G100" s="59"/>
      <c r="H100" s="59"/>
      <c r="I100" s="59"/>
      <c r="J100" s="59"/>
      <c r="K100" s="59"/>
      <c r="L100" s="58"/>
      <c r="M100" s="59"/>
      <c r="N100" s="59"/>
      <c r="O100" s="59"/>
      <c r="P100" s="59"/>
      <c r="Q100" s="59"/>
      <c r="R100" s="59"/>
      <c r="S100" s="58"/>
      <c r="T100" s="59"/>
      <c r="U100" s="59"/>
      <c r="V100" s="59"/>
      <c r="W100" s="59"/>
      <c r="X100" s="59"/>
      <c r="Y100" s="59"/>
      <c r="Z100" s="58"/>
      <c r="AA100" s="59"/>
      <c r="AB100" s="59"/>
      <c r="AC100" s="58"/>
      <c r="AD100" s="59"/>
      <c r="AE100" s="59"/>
      <c r="AF100" s="59"/>
      <c r="AG100" s="58"/>
      <c r="AH100" s="61"/>
      <c r="AI100" s="89">
        <f t="shared" si="12"/>
        <v>0</v>
      </c>
      <c r="AJ100" s="86">
        <f>AI100*1.5</f>
        <v>0</v>
      </c>
      <c r="AK100" s="14"/>
    </row>
    <row r="101" spans="1:44" ht="18" customHeight="1">
      <c r="A101" s="5"/>
      <c r="B101" s="54"/>
      <c r="C101" s="18" t="s">
        <v>8</v>
      </c>
      <c r="D101" s="66"/>
      <c r="E101" s="67"/>
      <c r="F101" s="68"/>
      <c r="G101" s="68"/>
      <c r="H101" s="68"/>
      <c r="I101" s="68"/>
      <c r="J101" s="68"/>
      <c r="K101" s="68"/>
      <c r="L101" s="67"/>
      <c r="M101" s="68"/>
      <c r="N101" s="68"/>
      <c r="O101" s="68"/>
      <c r="P101" s="68"/>
      <c r="Q101" s="68"/>
      <c r="R101" s="68"/>
      <c r="S101" s="67"/>
      <c r="T101" s="68"/>
      <c r="U101" s="68"/>
      <c r="V101" s="68"/>
      <c r="W101" s="68"/>
      <c r="X101" s="68"/>
      <c r="Y101" s="68"/>
      <c r="Z101" s="67"/>
      <c r="AA101" s="68"/>
      <c r="AB101" s="68"/>
      <c r="AC101" s="67"/>
      <c r="AD101" s="68"/>
      <c r="AE101" s="68"/>
      <c r="AF101" s="68"/>
      <c r="AG101" s="67"/>
      <c r="AH101" s="69"/>
      <c r="AI101" s="90">
        <f t="shared" si="12"/>
        <v>0</v>
      </c>
      <c r="AJ101" s="91">
        <f>AI101*0.5</f>
        <v>0</v>
      </c>
      <c r="AK101" s="17"/>
    </row>
    <row r="102" spans="1:44" ht="18" customHeight="1">
      <c r="A102" s="5"/>
      <c r="B102" s="6"/>
      <c r="C102" s="19" t="s">
        <v>3</v>
      </c>
      <c r="D102" s="70"/>
      <c r="E102" s="71"/>
      <c r="F102" s="72"/>
      <c r="G102" s="72"/>
      <c r="H102" s="72"/>
      <c r="I102" s="72"/>
      <c r="J102" s="72"/>
      <c r="K102" s="72"/>
      <c r="L102" s="71"/>
      <c r="M102" s="72"/>
      <c r="N102" s="72"/>
      <c r="O102" s="72"/>
      <c r="P102" s="72"/>
      <c r="Q102" s="72"/>
      <c r="R102" s="72"/>
      <c r="S102" s="71"/>
      <c r="T102" s="72"/>
      <c r="U102" s="72"/>
      <c r="V102" s="72"/>
      <c r="W102" s="72"/>
      <c r="X102" s="72"/>
      <c r="Y102" s="72"/>
      <c r="Z102" s="71"/>
      <c r="AA102" s="72"/>
      <c r="AB102" s="72"/>
      <c r="AC102" s="71"/>
      <c r="AD102" s="72"/>
      <c r="AE102" s="72"/>
      <c r="AF102" s="72"/>
      <c r="AG102" s="71"/>
      <c r="AH102" s="73"/>
      <c r="AI102" s="92">
        <f t="shared" si="12"/>
        <v>0</v>
      </c>
      <c r="AJ102" s="93">
        <f>AI102*1.5</f>
        <v>0</v>
      </c>
      <c r="AK102" s="17"/>
    </row>
    <row r="103" spans="1:44" ht="18" customHeight="1">
      <c r="A103" s="5"/>
      <c r="B103" s="41"/>
      <c r="C103" s="34" t="s">
        <v>46</v>
      </c>
      <c r="D103" s="74"/>
      <c r="E103" s="75"/>
      <c r="F103" s="76"/>
      <c r="G103" s="76"/>
      <c r="H103" s="76"/>
      <c r="I103" s="76"/>
      <c r="J103" s="76"/>
      <c r="K103" s="76"/>
      <c r="L103" s="75"/>
      <c r="M103" s="76"/>
      <c r="N103" s="76"/>
      <c r="O103" s="76"/>
      <c r="P103" s="76"/>
      <c r="Q103" s="76"/>
      <c r="R103" s="76"/>
      <c r="S103" s="75"/>
      <c r="T103" s="76"/>
      <c r="U103" s="76"/>
      <c r="V103" s="76"/>
      <c r="W103" s="76"/>
      <c r="X103" s="76"/>
      <c r="Y103" s="76"/>
      <c r="Z103" s="75"/>
      <c r="AA103" s="76"/>
      <c r="AB103" s="76"/>
      <c r="AC103" s="75"/>
      <c r="AD103" s="76"/>
      <c r="AE103" s="76"/>
      <c r="AF103" s="76"/>
      <c r="AG103" s="75"/>
      <c r="AH103" s="77"/>
      <c r="AI103" s="94">
        <f t="shared" si="12"/>
        <v>0</v>
      </c>
      <c r="AJ103" s="95">
        <f>AI103*1</f>
        <v>0</v>
      </c>
      <c r="AK103" s="17"/>
    </row>
    <row r="104" spans="1:44" ht="18" customHeight="1" thickBot="1">
      <c r="A104" s="39"/>
      <c r="B104" s="44"/>
      <c r="C104" s="40" t="s">
        <v>47</v>
      </c>
      <c r="D104" s="8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4"/>
      <c r="AF104" s="83"/>
      <c r="AG104" s="83"/>
      <c r="AH104" s="106"/>
      <c r="AI104" s="101">
        <f t="shared" si="12"/>
        <v>0</v>
      </c>
      <c r="AJ104" s="102">
        <f>AI104*1</f>
        <v>0</v>
      </c>
      <c r="AK104" s="24"/>
    </row>
    <row r="105" spans="1:44" ht="18" customHeight="1">
      <c r="A105" s="21">
        <f>A96+1</f>
        <v>12</v>
      </c>
      <c r="B105" s="41" t="e">
        <f>_xlfn.XLOOKUP(A105,#REF!,#REF!)</f>
        <v>#REF!</v>
      </c>
      <c r="C105" s="22" t="s">
        <v>9</v>
      </c>
      <c r="D105" s="53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56"/>
      <c r="AI105" s="96"/>
      <c r="AJ105" s="97"/>
      <c r="AK105" s="518">
        <f>COUNT(D105:AH105)</f>
        <v>0</v>
      </c>
      <c r="AL105" s="111" t="str">
        <f>C107</f>
        <v>기본근로</v>
      </c>
      <c r="AM105" s="111" t="str">
        <f>C112</f>
        <v>주휴일</v>
      </c>
      <c r="AN105" s="111" t="str">
        <f>C108</f>
        <v>고정연장</v>
      </c>
      <c r="AO105" s="111" t="str">
        <f>C109</f>
        <v>특별연장</v>
      </c>
      <c r="AP105" s="111" t="str">
        <f>C110</f>
        <v>야간근로</v>
      </c>
      <c r="AQ105" s="111" t="str">
        <f>C111</f>
        <v>휴일근로</v>
      </c>
      <c r="AR105" s="111" t="str">
        <f>C113</f>
        <v>연차휴가</v>
      </c>
    </row>
    <row r="106" spans="1:44" ht="18" customHeight="1">
      <c r="A106" s="45"/>
      <c r="B106" s="41" t="e">
        <f>_xlfn.XLOOKUP(A105,#REF!,#REF!)</f>
        <v>#REF!</v>
      </c>
      <c r="C106" s="9" t="s">
        <v>10</v>
      </c>
      <c r="D106" s="52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55"/>
      <c r="AI106" s="98"/>
      <c r="AJ106" s="99"/>
      <c r="AK106" s="519"/>
      <c r="AL106" s="51">
        <f>AI107</f>
        <v>0</v>
      </c>
      <c r="AM106" s="51">
        <f>AI112</f>
        <v>0</v>
      </c>
      <c r="AN106" s="51">
        <f>AI108</f>
        <v>0</v>
      </c>
      <c r="AO106" s="51">
        <f>AI109</f>
        <v>0</v>
      </c>
      <c r="AP106" s="51">
        <f>AI110</f>
        <v>0</v>
      </c>
      <c r="AQ106" s="51">
        <f>AI111</f>
        <v>0</v>
      </c>
      <c r="AR106" s="111">
        <f>AI113</f>
        <v>0</v>
      </c>
    </row>
    <row r="107" spans="1:44" ht="18" customHeight="1">
      <c r="A107" s="5"/>
      <c r="B107" s="42" t="e">
        <f>_xlfn.XLOOKUP(A105,#REF!,#REF!)</f>
        <v>#REF!</v>
      </c>
      <c r="C107" s="13" t="s">
        <v>7</v>
      </c>
      <c r="D107" s="57"/>
      <c r="E107" s="58"/>
      <c r="F107" s="59"/>
      <c r="G107" s="59"/>
      <c r="H107" s="60"/>
      <c r="I107" s="59"/>
      <c r="J107" s="60"/>
      <c r="K107" s="59"/>
      <c r="L107" s="58"/>
      <c r="M107" s="59"/>
      <c r="N107" s="59"/>
      <c r="O107" s="59"/>
      <c r="P107" s="59"/>
      <c r="Q107" s="59"/>
      <c r="R107" s="59"/>
      <c r="S107" s="58"/>
      <c r="T107" s="59"/>
      <c r="U107" s="59"/>
      <c r="V107" s="59"/>
      <c r="W107" s="59"/>
      <c r="X107" s="59"/>
      <c r="Y107" s="59"/>
      <c r="Z107" s="58"/>
      <c r="AA107" s="59"/>
      <c r="AB107" s="59"/>
      <c r="AC107" s="59"/>
      <c r="AD107" s="59"/>
      <c r="AE107" s="59"/>
      <c r="AF107" s="59"/>
      <c r="AG107" s="58"/>
      <c r="AH107" s="61"/>
      <c r="AI107" s="89">
        <f t="shared" ref="AI107:AI113" si="13">SUM(D107:AH107)</f>
        <v>0</v>
      </c>
      <c r="AJ107" s="86">
        <f>AI107*1</f>
        <v>0</v>
      </c>
      <c r="AK107" s="14" t="s">
        <v>23</v>
      </c>
    </row>
    <row r="108" spans="1:44" ht="18" customHeight="1">
      <c r="A108" s="5"/>
      <c r="B108" s="41" t="e">
        <f>_xlfn.XLOOKUP(A105,#REF!,#REF!)</f>
        <v>#REF!</v>
      </c>
      <c r="C108" s="16" t="s">
        <v>16</v>
      </c>
      <c r="D108" s="62"/>
      <c r="E108" s="63"/>
      <c r="F108" s="64"/>
      <c r="G108" s="64"/>
      <c r="H108" s="64"/>
      <c r="I108" s="64"/>
      <c r="J108" s="64"/>
      <c r="K108" s="64"/>
      <c r="L108" s="63"/>
      <c r="M108" s="64"/>
      <c r="N108" s="64"/>
      <c r="O108" s="64"/>
      <c r="P108" s="64"/>
      <c r="Q108" s="64"/>
      <c r="R108" s="64"/>
      <c r="S108" s="63"/>
      <c r="T108" s="64"/>
      <c r="U108" s="64"/>
      <c r="V108" s="64"/>
      <c r="W108" s="64"/>
      <c r="X108" s="64"/>
      <c r="Y108" s="64"/>
      <c r="Z108" s="63"/>
      <c r="AA108" s="64"/>
      <c r="AB108" s="64"/>
      <c r="AC108" s="64"/>
      <c r="AD108" s="64"/>
      <c r="AE108" s="64"/>
      <c r="AF108" s="64"/>
      <c r="AG108" s="63"/>
      <c r="AH108" s="65"/>
      <c r="AI108" s="100">
        <f t="shared" si="13"/>
        <v>0</v>
      </c>
      <c r="AJ108" s="88">
        <f>AI108*1.5</f>
        <v>0</v>
      </c>
      <c r="AK108" s="17" t="s">
        <v>24</v>
      </c>
    </row>
    <row r="109" spans="1:44" ht="18" customHeight="1">
      <c r="A109" s="5"/>
      <c r="B109" s="132"/>
      <c r="C109" s="13" t="s">
        <v>50</v>
      </c>
      <c r="D109" s="57"/>
      <c r="E109" s="58"/>
      <c r="F109" s="59"/>
      <c r="G109" s="59"/>
      <c r="H109" s="59"/>
      <c r="I109" s="59"/>
      <c r="J109" s="59"/>
      <c r="K109" s="59"/>
      <c r="L109" s="58"/>
      <c r="M109" s="59"/>
      <c r="N109" s="59"/>
      <c r="O109" s="59"/>
      <c r="P109" s="59"/>
      <c r="Q109" s="59"/>
      <c r="R109" s="59"/>
      <c r="S109" s="58"/>
      <c r="T109" s="59"/>
      <c r="U109" s="59"/>
      <c r="V109" s="59"/>
      <c r="W109" s="59"/>
      <c r="X109" s="59"/>
      <c r="Y109" s="59"/>
      <c r="Z109" s="58"/>
      <c r="AA109" s="59"/>
      <c r="AB109" s="59"/>
      <c r="AC109" s="58"/>
      <c r="AD109" s="59"/>
      <c r="AE109" s="59"/>
      <c r="AF109" s="59"/>
      <c r="AG109" s="58"/>
      <c r="AH109" s="61"/>
      <c r="AI109" s="89">
        <f t="shared" si="13"/>
        <v>0</v>
      </c>
      <c r="AJ109" s="86">
        <f>AI109*1.5</f>
        <v>0</v>
      </c>
      <c r="AK109" s="14"/>
    </row>
    <row r="110" spans="1:44" ht="18" customHeight="1">
      <c r="A110" s="5"/>
      <c r="B110" s="54"/>
      <c r="C110" s="18" t="s">
        <v>8</v>
      </c>
      <c r="D110" s="66"/>
      <c r="E110" s="67"/>
      <c r="F110" s="68"/>
      <c r="G110" s="68"/>
      <c r="H110" s="68"/>
      <c r="I110" s="68"/>
      <c r="J110" s="68"/>
      <c r="K110" s="68"/>
      <c r="L110" s="67"/>
      <c r="M110" s="68"/>
      <c r="N110" s="68"/>
      <c r="O110" s="68"/>
      <c r="P110" s="68"/>
      <c r="Q110" s="68"/>
      <c r="R110" s="68"/>
      <c r="S110" s="67"/>
      <c r="T110" s="68"/>
      <c r="U110" s="68"/>
      <c r="V110" s="68"/>
      <c r="W110" s="68"/>
      <c r="X110" s="68"/>
      <c r="Y110" s="68"/>
      <c r="Z110" s="67"/>
      <c r="AA110" s="68"/>
      <c r="AB110" s="68"/>
      <c r="AC110" s="67"/>
      <c r="AD110" s="68"/>
      <c r="AE110" s="68"/>
      <c r="AF110" s="68"/>
      <c r="AG110" s="67"/>
      <c r="AH110" s="69"/>
      <c r="AI110" s="90">
        <f t="shared" si="13"/>
        <v>0</v>
      </c>
      <c r="AJ110" s="91">
        <f>AI110*0.5</f>
        <v>0</v>
      </c>
      <c r="AK110" s="17"/>
    </row>
    <row r="111" spans="1:44" ht="18" customHeight="1">
      <c r="A111" s="5"/>
      <c r="B111" s="6"/>
      <c r="C111" s="19" t="s">
        <v>3</v>
      </c>
      <c r="D111" s="70"/>
      <c r="E111" s="71"/>
      <c r="F111" s="72"/>
      <c r="G111" s="72"/>
      <c r="H111" s="72"/>
      <c r="I111" s="72"/>
      <c r="J111" s="72"/>
      <c r="K111" s="72"/>
      <c r="L111" s="71"/>
      <c r="M111" s="72"/>
      <c r="N111" s="72"/>
      <c r="O111" s="72"/>
      <c r="P111" s="72"/>
      <c r="Q111" s="72"/>
      <c r="R111" s="72"/>
      <c r="S111" s="71"/>
      <c r="T111" s="72"/>
      <c r="U111" s="72"/>
      <c r="V111" s="72"/>
      <c r="W111" s="72"/>
      <c r="X111" s="72"/>
      <c r="Y111" s="72"/>
      <c r="Z111" s="71"/>
      <c r="AA111" s="72"/>
      <c r="AB111" s="72"/>
      <c r="AC111" s="71"/>
      <c r="AD111" s="72"/>
      <c r="AE111" s="72"/>
      <c r="AF111" s="72"/>
      <c r="AG111" s="71"/>
      <c r="AH111" s="73"/>
      <c r="AI111" s="92">
        <f t="shared" si="13"/>
        <v>0</v>
      </c>
      <c r="AJ111" s="93">
        <f>AI111*1.5</f>
        <v>0</v>
      </c>
      <c r="AK111" s="17"/>
    </row>
    <row r="112" spans="1:44" ht="18" customHeight="1">
      <c r="A112" s="5"/>
      <c r="B112" s="41"/>
      <c r="C112" s="34" t="s">
        <v>46</v>
      </c>
      <c r="D112" s="74"/>
      <c r="E112" s="75"/>
      <c r="F112" s="76"/>
      <c r="G112" s="76"/>
      <c r="H112" s="76"/>
      <c r="I112" s="76"/>
      <c r="J112" s="76"/>
      <c r="K112" s="76"/>
      <c r="L112" s="75"/>
      <c r="M112" s="76"/>
      <c r="N112" s="76"/>
      <c r="O112" s="76"/>
      <c r="P112" s="76"/>
      <c r="Q112" s="76"/>
      <c r="R112" s="76"/>
      <c r="S112" s="75"/>
      <c r="T112" s="76"/>
      <c r="U112" s="76"/>
      <c r="V112" s="76"/>
      <c r="W112" s="76"/>
      <c r="X112" s="76"/>
      <c r="Y112" s="76"/>
      <c r="Z112" s="75"/>
      <c r="AA112" s="76"/>
      <c r="AB112" s="76"/>
      <c r="AC112" s="75"/>
      <c r="AD112" s="76"/>
      <c r="AE112" s="76"/>
      <c r="AF112" s="76"/>
      <c r="AG112" s="75"/>
      <c r="AH112" s="77"/>
      <c r="AI112" s="94">
        <f t="shared" si="13"/>
        <v>0</v>
      </c>
      <c r="AJ112" s="95">
        <f>AI112*1</f>
        <v>0</v>
      </c>
      <c r="AK112" s="17"/>
    </row>
    <row r="113" spans="1:44" ht="18" customHeight="1" thickBot="1">
      <c r="A113" s="39"/>
      <c r="B113" s="44"/>
      <c r="C113" s="40" t="s">
        <v>47</v>
      </c>
      <c r="D113" s="82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4"/>
      <c r="AF113" s="83"/>
      <c r="AG113" s="83"/>
      <c r="AH113" s="106"/>
      <c r="AI113" s="101">
        <f t="shared" si="13"/>
        <v>0</v>
      </c>
      <c r="AJ113" s="102">
        <f>AI113*1</f>
        <v>0</v>
      </c>
      <c r="AK113" s="24"/>
    </row>
    <row r="114" spans="1:44" ht="18" customHeight="1">
      <c r="A114" s="21">
        <f>A105+1</f>
        <v>13</v>
      </c>
      <c r="B114" s="41" t="e">
        <f>_xlfn.XLOOKUP(A114,#REF!,#REF!)</f>
        <v>#REF!</v>
      </c>
      <c r="C114" s="22" t="s">
        <v>9</v>
      </c>
      <c r="D114" s="53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56"/>
      <c r="AI114" s="96"/>
      <c r="AJ114" s="97"/>
      <c r="AK114" s="518">
        <f>COUNT(D114:AH114)</f>
        <v>0</v>
      </c>
      <c r="AL114" s="111" t="str">
        <f>C116</f>
        <v>기본근로</v>
      </c>
      <c r="AM114" s="111" t="str">
        <f>C121</f>
        <v>주휴일</v>
      </c>
      <c r="AN114" s="111" t="str">
        <f>C117</f>
        <v>고정연장</v>
      </c>
      <c r="AO114" s="111" t="str">
        <f>C118</f>
        <v>특별연장</v>
      </c>
      <c r="AP114" s="111" t="str">
        <f>C119</f>
        <v>야간근로</v>
      </c>
      <c r="AQ114" s="111" t="str">
        <f>C120</f>
        <v>휴일근로</v>
      </c>
      <c r="AR114" s="111" t="str">
        <f>C122</f>
        <v>연차휴가</v>
      </c>
    </row>
    <row r="115" spans="1:44" ht="18" customHeight="1">
      <c r="A115" s="45"/>
      <c r="B115" s="41" t="e">
        <f>_xlfn.XLOOKUP(A114,#REF!,#REF!)</f>
        <v>#REF!</v>
      </c>
      <c r="C115" s="9" t="s">
        <v>10</v>
      </c>
      <c r="D115" s="52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55"/>
      <c r="AI115" s="98"/>
      <c r="AJ115" s="99"/>
      <c r="AK115" s="519"/>
      <c r="AL115" s="51">
        <f>AI116</f>
        <v>0</v>
      </c>
      <c r="AM115" s="51">
        <f>AI121</f>
        <v>0</v>
      </c>
      <c r="AN115" s="51">
        <f>AI117</f>
        <v>0</v>
      </c>
      <c r="AO115" s="51">
        <f>AI118</f>
        <v>0</v>
      </c>
      <c r="AP115" s="51">
        <f>AI119</f>
        <v>0</v>
      </c>
      <c r="AQ115" s="51">
        <f>AI120</f>
        <v>0</v>
      </c>
      <c r="AR115" s="111">
        <f>AI122</f>
        <v>0</v>
      </c>
    </row>
    <row r="116" spans="1:44" ht="18" customHeight="1">
      <c r="A116" s="5"/>
      <c r="B116" s="42" t="e">
        <f>_xlfn.XLOOKUP(A114,#REF!,#REF!)</f>
        <v>#REF!</v>
      </c>
      <c r="C116" s="13" t="s">
        <v>7</v>
      </c>
      <c r="D116" s="57"/>
      <c r="E116" s="58"/>
      <c r="F116" s="59"/>
      <c r="G116" s="59"/>
      <c r="H116" s="60"/>
      <c r="I116" s="59"/>
      <c r="J116" s="60"/>
      <c r="K116" s="59"/>
      <c r="L116" s="58"/>
      <c r="M116" s="59"/>
      <c r="N116" s="59"/>
      <c r="O116" s="59"/>
      <c r="P116" s="59"/>
      <c r="Q116" s="59"/>
      <c r="R116" s="59"/>
      <c r="S116" s="58"/>
      <c r="T116" s="59"/>
      <c r="U116" s="59"/>
      <c r="V116" s="59"/>
      <c r="W116" s="59"/>
      <c r="X116" s="59"/>
      <c r="Y116" s="59"/>
      <c r="Z116" s="58"/>
      <c r="AA116" s="59"/>
      <c r="AB116" s="59"/>
      <c r="AC116" s="59"/>
      <c r="AD116" s="59"/>
      <c r="AE116" s="59"/>
      <c r="AF116" s="59"/>
      <c r="AG116" s="58"/>
      <c r="AH116" s="61"/>
      <c r="AI116" s="89">
        <f t="shared" ref="AI116:AI122" si="14">SUM(D116:AH116)</f>
        <v>0</v>
      </c>
      <c r="AJ116" s="86">
        <f>AI116*1</f>
        <v>0</v>
      </c>
      <c r="AK116" s="14" t="s">
        <v>23</v>
      </c>
    </row>
    <row r="117" spans="1:44" ht="18" customHeight="1">
      <c r="A117" s="5"/>
      <c r="B117" s="41" t="e">
        <f>_xlfn.XLOOKUP(A114,#REF!,#REF!)</f>
        <v>#REF!</v>
      </c>
      <c r="C117" s="16" t="s">
        <v>16</v>
      </c>
      <c r="D117" s="62"/>
      <c r="E117" s="63"/>
      <c r="F117" s="64"/>
      <c r="G117" s="64"/>
      <c r="H117" s="64"/>
      <c r="I117" s="64"/>
      <c r="J117" s="64"/>
      <c r="K117" s="64"/>
      <c r="L117" s="63"/>
      <c r="M117" s="64"/>
      <c r="N117" s="64"/>
      <c r="O117" s="64"/>
      <c r="P117" s="64"/>
      <c r="Q117" s="64"/>
      <c r="R117" s="64"/>
      <c r="S117" s="63"/>
      <c r="T117" s="64"/>
      <c r="U117" s="64"/>
      <c r="V117" s="64"/>
      <c r="W117" s="64"/>
      <c r="X117" s="64"/>
      <c r="Y117" s="64"/>
      <c r="Z117" s="63"/>
      <c r="AA117" s="64"/>
      <c r="AB117" s="64"/>
      <c r="AC117" s="64"/>
      <c r="AD117" s="64"/>
      <c r="AE117" s="64"/>
      <c r="AF117" s="64"/>
      <c r="AG117" s="63"/>
      <c r="AH117" s="65"/>
      <c r="AI117" s="100">
        <f t="shared" si="14"/>
        <v>0</v>
      </c>
      <c r="AJ117" s="88">
        <f>AI117*1.5</f>
        <v>0</v>
      </c>
      <c r="AK117" s="17" t="s">
        <v>24</v>
      </c>
    </row>
    <row r="118" spans="1:44" ht="18" customHeight="1">
      <c r="A118" s="5"/>
      <c r="B118" s="132"/>
      <c r="C118" s="13" t="s">
        <v>50</v>
      </c>
      <c r="D118" s="57"/>
      <c r="E118" s="58"/>
      <c r="F118" s="59"/>
      <c r="G118" s="59"/>
      <c r="H118" s="59"/>
      <c r="I118" s="59"/>
      <c r="J118" s="59"/>
      <c r="K118" s="59"/>
      <c r="L118" s="58"/>
      <c r="M118" s="59"/>
      <c r="N118" s="59"/>
      <c r="O118" s="59"/>
      <c r="P118" s="59"/>
      <c r="Q118" s="59"/>
      <c r="R118" s="59"/>
      <c r="S118" s="58"/>
      <c r="T118" s="59"/>
      <c r="U118" s="59"/>
      <c r="V118" s="59"/>
      <c r="W118" s="59"/>
      <c r="X118" s="59"/>
      <c r="Y118" s="59"/>
      <c r="Z118" s="58"/>
      <c r="AA118" s="59"/>
      <c r="AB118" s="59"/>
      <c r="AC118" s="58"/>
      <c r="AD118" s="59"/>
      <c r="AE118" s="59"/>
      <c r="AF118" s="59"/>
      <c r="AG118" s="58"/>
      <c r="AH118" s="61"/>
      <c r="AI118" s="89">
        <f t="shared" si="14"/>
        <v>0</v>
      </c>
      <c r="AJ118" s="86">
        <f>AI118*1.5</f>
        <v>0</v>
      </c>
      <c r="AK118" s="14"/>
    </row>
    <row r="119" spans="1:44" ht="18" customHeight="1">
      <c r="A119" s="5"/>
      <c r="B119" s="54"/>
      <c r="C119" s="18" t="s">
        <v>8</v>
      </c>
      <c r="D119" s="66"/>
      <c r="E119" s="67"/>
      <c r="F119" s="68"/>
      <c r="G119" s="68"/>
      <c r="H119" s="68"/>
      <c r="I119" s="68"/>
      <c r="J119" s="68"/>
      <c r="K119" s="68"/>
      <c r="L119" s="67"/>
      <c r="M119" s="68"/>
      <c r="N119" s="68"/>
      <c r="O119" s="68"/>
      <c r="P119" s="68"/>
      <c r="Q119" s="68"/>
      <c r="R119" s="68"/>
      <c r="S119" s="67"/>
      <c r="T119" s="68"/>
      <c r="U119" s="68"/>
      <c r="V119" s="68"/>
      <c r="W119" s="68"/>
      <c r="X119" s="68"/>
      <c r="Y119" s="68"/>
      <c r="Z119" s="67"/>
      <c r="AA119" s="68"/>
      <c r="AB119" s="68"/>
      <c r="AC119" s="67"/>
      <c r="AD119" s="68"/>
      <c r="AE119" s="68"/>
      <c r="AF119" s="68"/>
      <c r="AG119" s="67"/>
      <c r="AH119" s="69"/>
      <c r="AI119" s="90">
        <f t="shared" si="14"/>
        <v>0</v>
      </c>
      <c r="AJ119" s="91">
        <f>AI119*0.5</f>
        <v>0</v>
      </c>
      <c r="AK119" s="17"/>
    </row>
    <row r="120" spans="1:44" ht="18" customHeight="1">
      <c r="A120" s="5"/>
      <c r="B120" s="6"/>
      <c r="C120" s="19" t="s">
        <v>3</v>
      </c>
      <c r="D120" s="70"/>
      <c r="E120" s="71"/>
      <c r="F120" s="72"/>
      <c r="G120" s="72"/>
      <c r="H120" s="72"/>
      <c r="I120" s="72"/>
      <c r="J120" s="72"/>
      <c r="K120" s="72"/>
      <c r="L120" s="71"/>
      <c r="M120" s="72"/>
      <c r="N120" s="72"/>
      <c r="O120" s="72"/>
      <c r="P120" s="72"/>
      <c r="Q120" s="72"/>
      <c r="R120" s="72"/>
      <c r="S120" s="71"/>
      <c r="T120" s="72"/>
      <c r="U120" s="72"/>
      <c r="V120" s="72"/>
      <c r="W120" s="72"/>
      <c r="X120" s="72"/>
      <c r="Y120" s="72"/>
      <c r="Z120" s="71"/>
      <c r="AA120" s="72"/>
      <c r="AB120" s="72"/>
      <c r="AC120" s="71"/>
      <c r="AD120" s="72"/>
      <c r="AE120" s="72"/>
      <c r="AF120" s="72"/>
      <c r="AG120" s="71"/>
      <c r="AH120" s="73"/>
      <c r="AI120" s="92">
        <f t="shared" si="14"/>
        <v>0</v>
      </c>
      <c r="AJ120" s="93">
        <f>AI120*1.5</f>
        <v>0</v>
      </c>
      <c r="AK120" s="17"/>
    </row>
    <row r="121" spans="1:44" ht="18" customHeight="1">
      <c r="A121" s="5"/>
      <c r="B121" s="41"/>
      <c r="C121" s="34" t="s">
        <v>46</v>
      </c>
      <c r="D121" s="74"/>
      <c r="E121" s="75"/>
      <c r="F121" s="76"/>
      <c r="G121" s="76"/>
      <c r="H121" s="76"/>
      <c r="I121" s="76"/>
      <c r="J121" s="76"/>
      <c r="K121" s="76"/>
      <c r="L121" s="75"/>
      <c r="M121" s="76"/>
      <c r="N121" s="76"/>
      <c r="O121" s="76"/>
      <c r="P121" s="76"/>
      <c r="Q121" s="76"/>
      <c r="R121" s="76"/>
      <c r="S121" s="75"/>
      <c r="T121" s="76"/>
      <c r="U121" s="76"/>
      <c r="V121" s="76"/>
      <c r="W121" s="76"/>
      <c r="X121" s="76"/>
      <c r="Y121" s="76"/>
      <c r="Z121" s="75"/>
      <c r="AA121" s="76"/>
      <c r="AB121" s="76"/>
      <c r="AC121" s="75"/>
      <c r="AD121" s="76"/>
      <c r="AE121" s="76"/>
      <c r="AF121" s="76"/>
      <c r="AG121" s="75"/>
      <c r="AH121" s="77"/>
      <c r="AI121" s="94">
        <f t="shared" si="14"/>
        <v>0</v>
      </c>
      <c r="AJ121" s="95">
        <f>AI121*1</f>
        <v>0</v>
      </c>
      <c r="AK121" s="17"/>
    </row>
    <row r="122" spans="1:44" ht="18" customHeight="1" thickBot="1">
      <c r="A122" s="39"/>
      <c r="B122" s="44"/>
      <c r="C122" s="40" t="s">
        <v>47</v>
      </c>
      <c r="D122" s="82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4"/>
      <c r="AF122" s="83"/>
      <c r="AG122" s="83"/>
      <c r="AH122" s="106"/>
      <c r="AI122" s="101">
        <f t="shared" si="14"/>
        <v>0</v>
      </c>
      <c r="AJ122" s="102">
        <f>AI122*1</f>
        <v>0</v>
      </c>
      <c r="AK122" s="24"/>
    </row>
    <row r="123" spans="1:44" ht="18" customHeight="1">
      <c r="A123" s="21">
        <f>A114+1</f>
        <v>14</v>
      </c>
      <c r="B123" s="41" t="e">
        <f>_xlfn.XLOOKUP(A123,#REF!,#REF!)</f>
        <v>#REF!</v>
      </c>
      <c r="C123" s="22" t="s">
        <v>9</v>
      </c>
      <c r="D123" s="53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56"/>
      <c r="AI123" s="96"/>
      <c r="AJ123" s="97"/>
      <c r="AK123" s="518">
        <f>COUNT(D123:AH123)</f>
        <v>0</v>
      </c>
      <c r="AL123" s="111" t="str">
        <f>C125</f>
        <v>기본근로</v>
      </c>
      <c r="AM123" s="111" t="str">
        <f>C130</f>
        <v>주휴일</v>
      </c>
      <c r="AN123" s="111" t="str">
        <f>C126</f>
        <v>고정연장</v>
      </c>
      <c r="AO123" s="111" t="str">
        <f>C127</f>
        <v>특별연장</v>
      </c>
      <c r="AP123" s="111" t="str">
        <f>C128</f>
        <v>야간근로</v>
      </c>
      <c r="AQ123" s="111" t="str">
        <f>C129</f>
        <v>휴일근로</v>
      </c>
      <c r="AR123" s="111" t="str">
        <f>C131</f>
        <v>연차휴가</v>
      </c>
    </row>
    <row r="124" spans="1:44" ht="18" customHeight="1">
      <c r="A124" s="45"/>
      <c r="B124" s="41" t="e">
        <f>_xlfn.XLOOKUP(A123,#REF!,#REF!)</f>
        <v>#REF!</v>
      </c>
      <c r="C124" s="9" t="s">
        <v>10</v>
      </c>
      <c r="D124" s="52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55"/>
      <c r="AI124" s="98"/>
      <c r="AJ124" s="99"/>
      <c r="AK124" s="519"/>
      <c r="AL124" s="51">
        <f>AI125</f>
        <v>0</v>
      </c>
      <c r="AM124" s="51">
        <f>AI130</f>
        <v>0</v>
      </c>
      <c r="AN124" s="51">
        <f>AI126</f>
        <v>0</v>
      </c>
      <c r="AO124" s="51">
        <f>AI127</f>
        <v>0</v>
      </c>
      <c r="AP124" s="51">
        <f>AI128</f>
        <v>0</v>
      </c>
      <c r="AQ124" s="51">
        <f>AI129</f>
        <v>0</v>
      </c>
      <c r="AR124" s="111">
        <f>AI131</f>
        <v>0</v>
      </c>
    </row>
    <row r="125" spans="1:44" ht="18" customHeight="1">
      <c r="A125" s="5"/>
      <c r="B125" s="42" t="e">
        <f>_xlfn.XLOOKUP(A123,#REF!,#REF!)</f>
        <v>#REF!</v>
      </c>
      <c r="C125" s="13" t="s">
        <v>7</v>
      </c>
      <c r="D125" s="57"/>
      <c r="E125" s="58"/>
      <c r="F125" s="59"/>
      <c r="G125" s="59"/>
      <c r="H125" s="60"/>
      <c r="I125" s="59"/>
      <c r="J125" s="60"/>
      <c r="K125" s="59"/>
      <c r="L125" s="58"/>
      <c r="M125" s="59"/>
      <c r="N125" s="59"/>
      <c r="O125" s="59"/>
      <c r="P125" s="59"/>
      <c r="Q125" s="59"/>
      <c r="R125" s="59"/>
      <c r="S125" s="58"/>
      <c r="T125" s="59"/>
      <c r="U125" s="59"/>
      <c r="V125" s="59"/>
      <c r="W125" s="59"/>
      <c r="X125" s="59"/>
      <c r="Y125" s="59"/>
      <c r="Z125" s="58"/>
      <c r="AA125" s="59"/>
      <c r="AB125" s="59"/>
      <c r="AC125" s="59"/>
      <c r="AD125" s="59"/>
      <c r="AE125" s="59"/>
      <c r="AF125" s="59"/>
      <c r="AG125" s="58"/>
      <c r="AH125" s="61"/>
      <c r="AI125" s="89">
        <f t="shared" ref="AI125:AI131" si="15">SUM(D125:AH125)</f>
        <v>0</v>
      </c>
      <c r="AJ125" s="86">
        <f>AI125*1</f>
        <v>0</v>
      </c>
      <c r="AK125" s="14" t="s">
        <v>23</v>
      </c>
    </row>
    <row r="126" spans="1:44" ht="18" customHeight="1">
      <c r="A126" s="5"/>
      <c r="B126" s="41" t="e">
        <f>_xlfn.XLOOKUP(A123,#REF!,#REF!)</f>
        <v>#REF!</v>
      </c>
      <c r="C126" s="16" t="s">
        <v>16</v>
      </c>
      <c r="D126" s="62"/>
      <c r="E126" s="63"/>
      <c r="F126" s="64"/>
      <c r="G126" s="64"/>
      <c r="H126" s="64"/>
      <c r="I126" s="64"/>
      <c r="J126" s="64"/>
      <c r="K126" s="64"/>
      <c r="L126" s="63"/>
      <c r="M126" s="64"/>
      <c r="N126" s="64"/>
      <c r="O126" s="64"/>
      <c r="P126" s="64"/>
      <c r="Q126" s="64"/>
      <c r="R126" s="64"/>
      <c r="S126" s="63"/>
      <c r="T126" s="64"/>
      <c r="U126" s="64"/>
      <c r="V126" s="64"/>
      <c r="W126" s="64"/>
      <c r="X126" s="64"/>
      <c r="Y126" s="64"/>
      <c r="Z126" s="63"/>
      <c r="AA126" s="64"/>
      <c r="AB126" s="64"/>
      <c r="AC126" s="64"/>
      <c r="AD126" s="64"/>
      <c r="AE126" s="64"/>
      <c r="AF126" s="64"/>
      <c r="AG126" s="63"/>
      <c r="AH126" s="65"/>
      <c r="AI126" s="100">
        <f t="shared" si="15"/>
        <v>0</v>
      </c>
      <c r="AJ126" s="88">
        <f>AI126*1.5</f>
        <v>0</v>
      </c>
      <c r="AK126" s="17" t="s">
        <v>24</v>
      </c>
    </row>
    <row r="127" spans="1:44" ht="18" customHeight="1">
      <c r="A127" s="5"/>
      <c r="B127" s="132"/>
      <c r="C127" s="13" t="s">
        <v>50</v>
      </c>
      <c r="D127" s="57"/>
      <c r="E127" s="58"/>
      <c r="F127" s="59"/>
      <c r="G127" s="59"/>
      <c r="H127" s="59"/>
      <c r="I127" s="59"/>
      <c r="J127" s="59"/>
      <c r="K127" s="59"/>
      <c r="L127" s="58"/>
      <c r="M127" s="59"/>
      <c r="N127" s="59"/>
      <c r="O127" s="59"/>
      <c r="P127" s="59"/>
      <c r="Q127" s="59"/>
      <c r="R127" s="59"/>
      <c r="S127" s="58"/>
      <c r="T127" s="59"/>
      <c r="U127" s="59"/>
      <c r="V127" s="59"/>
      <c r="W127" s="59"/>
      <c r="X127" s="59"/>
      <c r="Y127" s="59"/>
      <c r="Z127" s="58"/>
      <c r="AA127" s="59"/>
      <c r="AB127" s="59"/>
      <c r="AC127" s="58"/>
      <c r="AD127" s="59"/>
      <c r="AE127" s="59"/>
      <c r="AF127" s="59"/>
      <c r="AG127" s="58"/>
      <c r="AH127" s="61"/>
      <c r="AI127" s="89">
        <f t="shared" si="15"/>
        <v>0</v>
      </c>
      <c r="AJ127" s="86">
        <f>AI127*1.5</f>
        <v>0</v>
      </c>
      <c r="AK127" s="14"/>
    </row>
    <row r="128" spans="1:44" ht="18" customHeight="1">
      <c r="A128" s="5"/>
      <c r="B128" s="54"/>
      <c r="C128" s="18" t="s">
        <v>8</v>
      </c>
      <c r="D128" s="66"/>
      <c r="E128" s="67"/>
      <c r="F128" s="68"/>
      <c r="G128" s="68"/>
      <c r="H128" s="68"/>
      <c r="I128" s="68"/>
      <c r="J128" s="68"/>
      <c r="K128" s="68"/>
      <c r="L128" s="67"/>
      <c r="M128" s="68"/>
      <c r="N128" s="68"/>
      <c r="O128" s="68"/>
      <c r="P128" s="68"/>
      <c r="Q128" s="68"/>
      <c r="R128" s="68"/>
      <c r="S128" s="67"/>
      <c r="T128" s="68"/>
      <c r="U128" s="68"/>
      <c r="V128" s="68"/>
      <c r="W128" s="68"/>
      <c r="X128" s="68"/>
      <c r="Y128" s="68"/>
      <c r="Z128" s="67"/>
      <c r="AA128" s="68"/>
      <c r="AB128" s="68"/>
      <c r="AC128" s="67"/>
      <c r="AD128" s="68"/>
      <c r="AE128" s="68"/>
      <c r="AF128" s="68"/>
      <c r="AG128" s="67"/>
      <c r="AH128" s="69"/>
      <c r="AI128" s="90">
        <f t="shared" si="15"/>
        <v>0</v>
      </c>
      <c r="AJ128" s="91">
        <f>AI128*0.5</f>
        <v>0</v>
      </c>
      <c r="AK128" s="17"/>
    </row>
    <row r="129" spans="1:44" ht="18" customHeight="1">
      <c r="A129" s="5"/>
      <c r="B129" s="6"/>
      <c r="C129" s="19" t="s">
        <v>3</v>
      </c>
      <c r="D129" s="70"/>
      <c r="E129" s="71"/>
      <c r="F129" s="72"/>
      <c r="G129" s="72"/>
      <c r="H129" s="72"/>
      <c r="I129" s="72"/>
      <c r="J129" s="72"/>
      <c r="K129" s="72"/>
      <c r="L129" s="71"/>
      <c r="M129" s="72"/>
      <c r="N129" s="72"/>
      <c r="O129" s="72"/>
      <c r="P129" s="72"/>
      <c r="Q129" s="72"/>
      <c r="R129" s="72"/>
      <c r="S129" s="71"/>
      <c r="T129" s="72"/>
      <c r="U129" s="72"/>
      <c r="V129" s="72"/>
      <c r="W129" s="72"/>
      <c r="X129" s="72"/>
      <c r="Y129" s="72"/>
      <c r="Z129" s="71"/>
      <c r="AA129" s="72"/>
      <c r="AB129" s="72"/>
      <c r="AC129" s="71"/>
      <c r="AD129" s="72"/>
      <c r="AE129" s="72"/>
      <c r="AF129" s="72"/>
      <c r="AG129" s="71"/>
      <c r="AH129" s="73"/>
      <c r="AI129" s="92">
        <f t="shared" si="15"/>
        <v>0</v>
      </c>
      <c r="AJ129" s="93">
        <f>AI129*1.5</f>
        <v>0</v>
      </c>
      <c r="AK129" s="17"/>
    </row>
    <row r="130" spans="1:44" ht="18" customHeight="1">
      <c r="A130" s="5"/>
      <c r="B130" s="41"/>
      <c r="C130" s="34" t="s">
        <v>46</v>
      </c>
      <c r="D130" s="74"/>
      <c r="E130" s="75"/>
      <c r="F130" s="76"/>
      <c r="G130" s="76"/>
      <c r="H130" s="76"/>
      <c r="I130" s="76"/>
      <c r="J130" s="76"/>
      <c r="K130" s="76"/>
      <c r="L130" s="75"/>
      <c r="M130" s="76"/>
      <c r="N130" s="76"/>
      <c r="O130" s="76"/>
      <c r="P130" s="76"/>
      <c r="Q130" s="76"/>
      <c r="R130" s="76"/>
      <c r="S130" s="75"/>
      <c r="T130" s="76"/>
      <c r="U130" s="76"/>
      <c r="V130" s="76"/>
      <c r="W130" s="76"/>
      <c r="X130" s="76"/>
      <c r="Y130" s="76"/>
      <c r="Z130" s="75"/>
      <c r="AA130" s="76"/>
      <c r="AB130" s="76"/>
      <c r="AC130" s="75"/>
      <c r="AD130" s="76"/>
      <c r="AE130" s="76"/>
      <c r="AF130" s="76"/>
      <c r="AG130" s="75"/>
      <c r="AH130" s="77"/>
      <c r="AI130" s="94">
        <f t="shared" si="15"/>
        <v>0</v>
      </c>
      <c r="AJ130" s="95">
        <f>AI130*1</f>
        <v>0</v>
      </c>
      <c r="AK130" s="17"/>
    </row>
    <row r="131" spans="1:44" ht="18" customHeight="1" thickBot="1">
      <c r="A131" s="39"/>
      <c r="B131" s="44"/>
      <c r="C131" s="40" t="s">
        <v>47</v>
      </c>
      <c r="D131" s="82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4"/>
      <c r="AF131" s="83"/>
      <c r="AG131" s="83"/>
      <c r="AH131" s="106"/>
      <c r="AI131" s="101">
        <f t="shared" si="15"/>
        <v>0</v>
      </c>
      <c r="AJ131" s="102">
        <f>AI131*1</f>
        <v>0</v>
      </c>
      <c r="AK131" s="24"/>
    </row>
    <row r="132" spans="1:44" ht="18" customHeight="1">
      <c r="A132" s="21">
        <f>A123+1</f>
        <v>15</v>
      </c>
      <c r="B132" s="41" t="e">
        <f>_xlfn.XLOOKUP(A132,#REF!,#REF!)</f>
        <v>#REF!</v>
      </c>
      <c r="C132" s="22" t="s">
        <v>9</v>
      </c>
      <c r="D132" s="53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56"/>
      <c r="AI132" s="96"/>
      <c r="AJ132" s="97"/>
      <c r="AK132" s="518">
        <f>COUNT(D132:AH132)</f>
        <v>0</v>
      </c>
      <c r="AL132" s="111" t="str">
        <f>C134</f>
        <v>기본근로</v>
      </c>
      <c r="AM132" s="111" t="str">
        <f>C139</f>
        <v>주휴일</v>
      </c>
      <c r="AN132" s="111" t="str">
        <f>C135</f>
        <v>고정연장</v>
      </c>
      <c r="AO132" s="111" t="str">
        <f>C136</f>
        <v>특별연장</v>
      </c>
      <c r="AP132" s="111" t="str">
        <f>C137</f>
        <v>야간근로</v>
      </c>
      <c r="AQ132" s="111" t="str">
        <f>C138</f>
        <v>휴일근로</v>
      </c>
      <c r="AR132" s="111" t="str">
        <f>C140</f>
        <v>연차휴가</v>
      </c>
    </row>
    <row r="133" spans="1:44" ht="18" customHeight="1">
      <c r="A133" s="45"/>
      <c r="B133" s="41" t="e">
        <f>_xlfn.XLOOKUP(A132,#REF!,#REF!)</f>
        <v>#REF!</v>
      </c>
      <c r="C133" s="9" t="s">
        <v>10</v>
      </c>
      <c r="D133" s="52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55"/>
      <c r="AI133" s="98"/>
      <c r="AJ133" s="99"/>
      <c r="AK133" s="519"/>
      <c r="AL133" s="51">
        <f>AI134</f>
        <v>184</v>
      </c>
      <c r="AM133" s="51">
        <f>AI139</f>
        <v>32</v>
      </c>
      <c r="AN133" s="51">
        <f>AI135</f>
        <v>30</v>
      </c>
      <c r="AO133" s="51">
        <f>AI136</f>
        <v>0</v>
      </c>
      <c r="AP133" s="51">
        <f>AI137</f>
        <v>0</v>
      </c>
      <c r="AQ133" s="51">
        <f>AI138</f>
        <v>16</v>
      </c>
      <c r="AR133" s="111">
        <f>AI140</f>
        <v>0</v>
      </c>
    </row>
    <row r="134" spans="1:44" ht="18" customHeight="1">
      <c r="A134" s="5"/>
      <c r="B134" s="42" t="e">
        <f>_xlfn.XLOOKUP(A132,#REF!,#REF!)</f>
        <v>#REF!</v>
      </c>
      <c r="C134" s="13" t="s">
        <v>7</v>
      </c>
      <c r="D134" s="57">
        <v>8</v>
      </c>
      <c r="E134" s="58">
        <v>8</v>
      </c>
      <c r="F134" s="59">
        <v>8</v>
      </c>
      <c r="G134" s="59">
        <v>8</v>
      </c>
      <c r="H134" s="60">
        <v>8</v>
      </c>
      <c r="I134" s="59"/>
      <c r="J134" s="60"/>
      <c r="K134" s="59">
        <v>8</v>
      </c>
      <c r="L134" s="58">
        <v>8</v>
      </c>
      <c r="M134" s="59">
        <v>8</v>
      </c>
      <c r="N134" s="59">
        <v>8</v>
      </c>
      <c r="O134" s="59">
        <v>8</v>
      </c>
      <c r="P134" s="59"/>
      <c r="Q134" s="59"/>
      <c r="R134" s="59">
        <v>8</v>
      </c>
      <c r="S134" s="58">
        <v>8</v>
      </c>
      <c r="T134" s="59">
        <v>8</v>
      </c>
      <c r="U134" s="59">
        <v>8</v>
      </c>
      <c r="V134" s="59">
        <v>8</v>
      </c>
      <c r="W134" s="59"/>
      <c r="X134" s="59"/>
      <c r="Y134" s="59">
        <v>8</v>
      </c>
      <c r="Z134" s="58">
        <v>8</v>
      </c>
      <c r="AA134" s="59">
        <v>8</v>
      </c>
      <c r="AB134" s="59">
        <v>8</v>
      </c>
      <c r="AC134" s="59">
        <v>8</v>
      </c>
      <c r="AD134" s="59"/>
      <c r="AE134" s="59"/>
      <c r="AF134" s="59">
        <v>8</v>
      </c>
      <c r="AG134" s="58">
        <v>8</v>
      </c>
      <c r="AH134" s="61">
        <v>8</v>
      </c>
      <c r="AI134" s="89">
        <f t="shared" ref="AI134:AI140" si="16">SUM(D134:AH134)</f>
        <v>184</v>
      </c>
      <c r="AJ134" s="86">
        <f>AI134*1</f>
        <v>184</v>
      </c>
      <c r="AK134" s="14" t="s">
        <v>23</v>
      </c>
    </row>
    <row r="135" spans="1:44" ht="18" customHeight="1">
      <c r="A135" s="5"/>
      <c r="B135" s="41" t="e">
        <f>_xlfn.XLOOKUP(A132,#REF!,#REF!)</f>
        <v>#REF!</v>
      </c>
      <c r="C135" s="16" t="s">
        <v>16</v>
      </c>
      <c r="D135" s="62">
        <v>2</v>
      </c>
      <c r="E135" s="63">
        <v>2</v>
      </c>
      <c r="F135" s="64">
        <v>2</v>
      </c>
      <c r="G135" s="64"/>
      <c r="H135" s="64"/>
      <c r="I135" s="64"/>
      <c r="J135" s="64"/>
      <c r="K135" s="64">
        <v>2</v>
      </c>
      <c r="L135" s="63">
        <v>2</v>
      </c>
      <c r="M135" s="64">
        <v>2</v>
      </c>
      <c r="N135" s="64"/>
      <c r="O135" s="64"/>
      <c r="P135" s="64"/>
      <c r="Q135" s="64"/>
      <c r="R135" s="64">
        <v>2</v>
      </c>
      <c r="S135" s="63">
        <v>2</v>
      </c>
      <c r="T135" s="64">
        <v>2</v>
      </c>
      <c r="U135" s="64"/>
      <c r="V135" s="64"/>
      <c r="W135" s="64"/>
      <c r="X135" s="64"/>
      <c r="Y135" s="64"/>
      <c r="Z135" s="63"/>
      <c r="AA135" s="64"/>
      <c r="AB135" s="64"/>
      <c r="AC135" s="64"/>
      <c r="AD135" s="64">
        <v>8</v>
      </c>
      <c r="AE135" s="64"/>
      <c r="AF135" s="64">
        <v>2</v>
      </c>
      <c r="AG135" s="63">
        <v>2</v>
      </c>
      <c r="AH135" s="65"/>
      <c r="AI135" s="100">
        <f t="shared" si="16"/>
        <v>30</v>
      </c>
      <c r="AJ135" s="88">
        <f>AI135*1.5</f>
        <v>45</v>
      </c>
      <c r="AK135" s="17" t="s">
        <v>24</v>
      </c>
    </row>
    <row r="136" spans="1:44" ht="18" customHeight="1">
      <c r="A136" s="5"/>
      <c r="B136" s="132"/>
      <c r="C136" s="13" t="s">
        <v>50</v>
      </c>
      <c r="D136" s="57"/>
      <c r="E136" s="58"/>
      <c r="F136" s="59"/>
      <c r="G136" s="59"/>
      <c r="H136" s="59"/>
      <c r="I136" s="59"/>
      <c r="J136" s="59"/>
      <c r="K136" s="59"/>
      <c r="L136" s="58"/>
      <c r="M136" s="59"/>
      <c r="N136" s="59"/>
      <c r="O136" s="59"/>
      <c r="P136" s="59"/>
      <c r="Q136" s="59"/>
      <c r="R136" s="59"/>
      <c r="S136" s="58"/>
      <c r="T136" s="59"/>
      <c r="U136" s="59"/>
      <c r="V136" s="59"/>
      <c r="W136" s="59"/>
      <c r="X136" s="59"/>
      <c r="Y136" s="59"/>
      <c r="Z136" s="58"/>
      <c r="AA136" s="59"/>
      <c r="AB136" s="59"/>
      <c r="AC136" s="58"/>
      <c r="AD136" s="59"/>
      <c r="AE136" s="59"/>
      <c r="AF136" s="59"/>
      <c r="AG136" s="58"/>
      <c r="AH136" s="61"/>
      <c r="AI136" s="89">
        <f t="shared" si="16"/>
        <v>0</v>
      </c>
      <c r="AJ136" s="86">
        <f>AI136*1.5</f>
        <v>0</v>
      </c>
      <c r="AK136" s="14"/>
    </row>
    <row r="137" spans="1:44" ht="18" customHeight="1">
      <c r="A137" s="5"/>
      <c r="B137" s="54"/>
      <c r="C137" s="18" t="s">
        <v>8</v>
      </c>
      <c r="D137" s="66"/>
      <c r="E137" s="67"/>
      <c r="F137" s="68"/>
      <c r="G137" s="68"/>
      <c r="H137" s="68"/>
      <c r="I137" s="68"/>
      <c r="J137" s="68"/>
      <c r="K137" s="68"/>
      <c r="L137" s="67"/>
      <c r="M137" s="68"/>
      <c r="N137" s="68"/>
      <c r="O137" s="68"/>
      <c r="P137" s="68"/>
      <c r="Q137" s="68"/>
      <c r="R137" s="68"/>
      <c r="S137" s="67"/>
      <c r="T137" s="68"/>
      <c r="U137" s="68"/>
      <c r="V137" s="68"/>
      <c r="W137" s="68"/>
      <c r="X137" s="68"/>
      <c r="Y137" s="68"/>
      <c r="Z137" s="67"/>
      <c r="AA137" s="68"/>
      <c r="AB137" s="68"/>
      <c r="AC137" s="67"/>
      <c r="AD137" s="68"/>
      <c r="AE137" s="68"/>
      <c r="AF137" s="68"/>
      <c r="AG137" s="67"/>
      <c r="AH137" s="69"/>
      <c r="AI137" s="90">
        <f t="shared" si="16"/>
        <v>0</v>
      </c>
      <c r="AJ137" s="91">
        <f>AI137*0.5</f>
        <v>0</v>
      </c>
      <c r="AK137" s="17"/>
    </row>
    <row r="138" spans="1:44" ht="18" customHeight="1">
      <c r="A138" s="5"/>
      <c r="B138" s="6"/>
      <c r="C138" s="19" t="s">
        <v>3</v>
      </c>
      <c r="D138" s="70"/>
      <c r="E138" s="71"/>
      <c r="F138" s="72"/>
      <c r="G138" s="72"/>
      <c r="H138" s="72"/>
      <c r="I138" s="72"/>
      <c r="J138" s="72">
        <v>8</v>
      </c>
      <c r="K138" s="72"/>
      <c r="L138" s="71"/>
      <c r="M138" s="72"/>
      <c r="N138" s="72"/>
      <c r="O138" s="72"/>
      <c r="P138" s="72"/>
      <c r="Q138" s="72"/>
      <c r="R138" s="72"/>
      <c r="S138" s="71"/>
      <c r="T138" s="72"/>
      <c r="U138" s="72"/>
      <c r="V138" s="72"/>
      <c r="W138" s="72"/>
      <c r="X138" s="72">
        <v>8</v>
      </c>
      <c r="Y138" s="72"/>
      <c r="Z138" s="71"/>
      <c r="AA138" s="72"/>
      <c r="AB138" s="72"/>
      <c r="AC138" s="71"/>
      <c r="AD138" s="72"/>
      <c r="AE138" s="72"/>
      <c r="AF138" s="72"/>
      <c r="AG138" s="71"/>
      <c r="AH138" s="73"/>
      <c r="AI138" s="92">
        <f t="shared" si="16"/>
        <v>16</v>
      </c>
      <c r="AJ138" s="93">
        <f>AI138*1.5</f>
        <v>24</v>
      </c>
      <c r="AK138" s="17"/>
    </row>
    <row r="139" spans="1:44" ht="18" customHeight="1">
      <c r="A139" s="5"/>
      <c r="B139" s="41"/>
      <c r="C139" s="34" t="s">
        <v>46</v>
      </c>
      <c r="D139" s="74"/>
      <c r="E139" s="75"/>
      <c r="F139" s="76"/>
      <c r="G139" s="76"/>
      <c r="H139" s="76"/>
      <c r="I139" s="76"/>
      <c r="J139" s="76">
        <v>8</v>
      </c>
      <c r="K139" s="76"/>
      <c r="L139" s="75"/>
      <c r="M139" s="76"/>
      <c r="N139" s="76"/>
      <c r="O139" s="76"/>
      <c r="P139" s="76"/>
      <c r="Q139" s="76">
        <v>8</v>
      </c>
      <c r="R139" s="76"/>
      <c r="S139" s="75"/>
      <c r="T139" s="76"/>
      <c r="U139" s="76"/>
      <c r="V139" s="76"/>
      <c r="W139" s="76"/>
      <c r="X139" s="76">
        <v>8</v>
      </c>
      <c r="Y139" s="76"/>
      <c r="Z139" s="75"/>
      <c r="AA139" s="76"/>
      <c r="AB139" s="76"/>
      <c r="AC139" s="75"/>
      <c r="AD139" s="76"/>
      <c r="AE139" s="76">
        <v>8</v>
      </c>
      <c r="AF139" s="76"/>
      <c r="AG139" s="75"/>
      <c r="AH139" s="77"/>
      <c r="AI139" s="94">
        <f t="shared" si="16"/>
        <v>32</v>
      </c>
      <c r="AJ139" s="95">
        <f>AI139*1</f>
        <v>32</v>
      </c>
      <c r="AK139" s="17"/>
    </row>
    <row r="140" spans="1:44" ht="18" customHeight="1" thickBot="1">
      <c r="A140" s="39"/>
      <c r="B140" s="44"/>
      <c r="C140" s="40" t="s">
        <v>47</v>
      </c>
      <c r="D140" s="82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4"/>
      <c r="AF140" s="83"/>
      <c r="AG140" s="83"/>
      <c r="AH140" s="106"/>
      <c r="AI140" s="101">
        <f t="shared" si="16"/>
        <v>0</v>
      </c>
      <c r="AJ140" s="102">
        <f>AI140*1</f>
        <v>0</v>
      </c>
      <c r="AK140" s="24"/>
    </row>
  </sheetData>
  <mergeCells count="26">
    <mergeCell ref="A4:A5"/>
    <mergeCell ref="B4:B5"/>
    <mergeCell ref="AI4:AI5"/>
    <mergeCell ref="AJ4:AJ5"/>
    <mergeCell ref="AK4:AK5"/>
    <mergeCell ref="A1:O1"/>
    <mergeCell ref="P1:V1"/>
    <mergeCell ref="W1:AB1"/>
    <mergeCell ref="A3:C3"/>
    <mergeCell ref="D3:G3"/>
    <mergeCell ref="AL5:AQ5"/>
    <mergeCell ref="AK6:AK7"/>
    <mergeCell ref="AK78:AK79"/>
    <mergeCell ref="AK87:AK88"/>
    <mergeCell ref="AK24:AK25"/>
    <mergeCell ref="AK33:AK34"/>
    <mergeCell ref="AK42:AK43"/>
    <mergeCell ref="AK51:AK52"/>
    <mergeCell ref="AK60:AK61"/>
    <mergeCell ref="AK69:AK70"/>
    <mergeCell ref="AK15:AK16"/>
    <mergeCell ref="AK96:AK97"/>
    <mergeCell ref="AK105:AK106"/>
    <mergeCell ref="AK114:AK115"/>
    <mergeCell ref="AK123:AK124"/>
    <mergeCell ref="AK132:AK133"/>
  </mergeCells>
  <phoneticPr fontId="15" type="noConversion"/>
  <conditionalFormatting sqref="B1:B1048576">
    <cfRule type="cellIs" dxfId="9" priority="1" operator="equal">
      <formula>"야간조"</formula>
    </cfRule>
    <cfRule type="cellIs" dxfId="8" priority="2" operator="equal">
      <formula>"시급제"</formula>
    </cfRule>
    <cfRule type="cellIs" dxfId="7" priority="3" operator="equal">
      <formula>"월급제"</formula>
    </cfRule>
  </conditionalFormatting>
  <conditionalFormatting sqref="D5:AH5">
    <cfRule type="cellIs" dxfId="6" priority="83" operator="equal">
      <formula>"토"</formula>
    </cfRule>
    <cfRule type="cellIs" dxfId="5" priority="84" operator="equal">
      <formula>"일"</formula>
    </cfRule>
    <cfRule type="containsText" dxfId="4" priority="85" operator="containsText" text="토">
      <formula>NOT(ISERROR(SEARCH("토",D5)))</formula>
    </cfRule>
  </conditionalFormatting>
  <pageMargins left="0.35433070866141736" right="0.35433070866141736" top="0.74803149606299213" bottom="0.35433070866141736" header="0.31496062992125984" footer="0.31496062992125984"/>
  <pageSetup paperSize="9" scale="54" orientation="landscape" r:id="rId1"/>
  <headerFooter>
    <oddFooter>&amp;C&amp;P/&amp;N&amp;R출근대장</oddFooter>
  </headerFooter>
  <rowBreaks count="1" manualBreakCount="1">
    <brk id="50" max="36" man="1"/>
  </rowBreaks>
  <colBreaks count="1" manualBreakCount="1">
    <brk id="3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A048F-0D63-4C40-880D-D07CCA19EBB5}">
  <sheetPr>
    <tabColor rgb="FF0000FF"/>
  </sheetPr>
  <dimension ref="A1:S38"/>
  <sheetViews>
    <sheetView showGridLines="0" tabSelected="1" view="pageBreakPreview" zoomScaleNormal="100" zoomScaleSheetLayoutView="100" workbookViewId="0">
      <selection activeCell="E12" sqref="E12:P12"/>
    </sheetView>
  </sheetViews>
  <sheetFormatPr defaultColWidth="8.88671875" defaultRowHeight="16.5"/>
  <cols>
    <col min="1" max="1" width="6" style="211" customWidth="1"/>
    <col min="2" max="2" width="2.6640625" style="211" customWidth="1"/>
    <col min="3" max="3" width="13.109375" style="212" customWidth="1"/>
    <col min="4" max="4" width="2.33203125" style="211" customWidth="1"/>
    <col min="5" max="5" width="13.5546875" style="211" customWidth="1"/>
    <col min="6" max="6" width="4.33203125" style="211" customWidth="1"/>
    <col min="7" max="7" width="1.77734375" style="211" customWidth="1"/>
    <col min="8" max="8" width="11.33203125" style="211" customWidth="1"/>
    <col min="9" max="9" width="4.33203125" style="211" customWidth="1"/>
    <col min="10" max="11" width="11.77734375" style="211" customWidth="1"/>
    <col min="12" max="12" width="3.21875" style="211" customWidth="1"/>
    <col min="13" max="13" width="4.33203125" style="211" customWidth="1"/>
    <col min="14" max="14" width="5.77734375" style="211" customWidth="1"/>
    <col min="15" max="15" width="4.77734375" style="211" customWidth="1"/>
    <col min="16" max="16" width="11.5546875" style="211" customWidth="1"/>
    <col min="17" max="17" width="2.6640625" style="211" customWidth="1"/>
    <col min="18" max="18" width="6.109375" style="211" customWidth="1"/>
    <col min="19" max="19" width="9.5546875" style="211" bestFit="1" customWidth="1"/>
    <col min="20" max="16384" width="8.88671875" style="211"/>
  </cols>
  <sheetData>
    <row r="1" spans="1:19" ht="16.5" customHeight="1"/>
    <row r="2" spans="1:19" ht="57" customHeight="1">
      <c r="A2" s="214"/>
      <c r="C2" s="1032" t="s">
        <v>54</v>
      </c>
      <c r="D2" s="1032"/>
      <c r="E2" s="1032"/>
      <c r="F2" s="1032"/>
      <c r="G2" s="1032"/>
      <c r="H2" s="1032"/>
      <c r="I2" s="1032"/>
      <c r="J2" s="1032"/>
      <c r="K2" s="1032"/>
      <c r="L2" s="1032"/>
      <c r="M2" s="1032"/>
      <c r="N2" s="1032"/>
      <c r="O2" s="1032"/>
      <c r="P2" s="1032"/>
      <c r="Q2" s="215"/>
    </row>
    <row r="3" spans="1:19" ht="15" customHeight="1">
      <c r="C3" s="216"/>
      <c r="D3" s="217"/>
    </row>
    <row r="4" spans="1:19" ht="23.25" customHeight="1">
      <c r="C4" s="596" t="s">
        <v>268</v>
      </c>
      <c r="D4" s="596"/>
      <c r="E4" s="596"/>
      <c r="F4" s="596"/>
      <c r="G4" s="596"/>
      <c r="H4" s="1023" t="s">
        <v>267</v>
      </c>
      <c r="I4" s="1023"/>
      <c r="J4" s="1023"/>
      <c r="K4" s="597" t="s">
        <v>55</v>
      </c>
      <c r="L4" s="597"/>
      <c r="M4" s="597"/>
      <c r="N4" s="597"/>
      <c r="O4" s="597"/>
      <c r="P4" s="597"/>
      <c r="Q4" s="218"/>
    </row>
    <row r="5" spans="1:19" ht="23.25" customHeight="1">
      <c r="C5" s="598" t="s">
        <v>269</v>
      </c>
      <c r="D5" s="598"/>
      <c r="E5" s="598"/>
      <c r="F5" s="598"/>
      <c r="G5" s="598"/>
      <c r="H5" s="598"/>
      <c r="I5" s="598"/>
      <c r="J5" s="598"/>
      <c r="K5" s="598"/>
      <c r="L5" s="598"/>
      <c r="M5" s="598"/>
      <c r="N5" s="598"/>
      <c r="O5" s="598"/>
      <c r="P5" s="598"/>
      <c r="Q5" s="219"/>
    </row>
    <row r="6" spans="1:19" ht="23.25" customHeight="1">
      <c r="C6" s="1027" t="s">
        <v>274</v>
      </c>
      <c r="D6" s="220"/>
      <c r="E6" s="221" t="s">
        <v>270</v>
      </c>
      <c r="F6" s="599"/>
      <c r="G6" s="599"/>
      <c r="H6" s="599"/>
      <c r="I6" s="599"/>
      <c r="J6" s="599"/>
      <c r="K6" s="599"/>
      <c r="L6" s="599"/>
      <c r="M6" s="599"/>
      <c r="N6" s="599"/>
      <c r="O6" s="599"/>
      <c r="P6" s="599"/>
      <c r="Q6" s="244"/>
    </row>
    <row r="7" spans="1:19" ht="23.25" customHeight="1">
      <c r="C7" s="1028"/>
      <c r="D7" s="222"/>
      <c r="E7" s="1025" t="s">
        <v>272</v>
      </c>
      <c r="F7" s="1025"/>
      <c r="G7" s="1026"/>
      <c r="H7" s="1026"/>
      <c r="I7" s="1026"/>
      <c r="J7" s="1026"/>
      <c r="K7" s="1026"/>
      <c r="L7" s="1026"/>
      <c r="M7" s="1026"/>
      <c r="N7" s="1026"/>
      <c r="O7" s="1026"/>
      <c r="P7" s="1026"/>
      <c r="Q7" s="244"/>
    </row>
    <row r="8" spans="1:19" ht="23.25" customHeight="1">
      <c r="C8" s="1028"/>
      <c r="D8" s="222"/>
      <c r="E8" s="1024" t="s">
        <v>271</v>
      </c>
      <c r="F8" s="1024"/>
      <c r="G8" s="1024"/>
      <c r="H8" s="1024"/>
      <c r="I8" s="1024"/>
      <c r="J8" s="1024"/>
      <c r="K8" s="1024"/>
      <c r="L8" s="1024"/>
      <c r="M8" s="1024"/>
      <c r="N8" s="1024"/>
      <c r="O8" s="1024"/>
      <c r="P8" s="1024"/>
      <c r="Q8" s="244"/>
    </row>
    <row r="9" spans="1:19" ht="23.25" customHeight="1">
      <c r="C9" s="1028"/>
      <c r="D9" s="225"/>
      <c r="E9" s="1024" t="s">
        <v>273</v>
      </c>
      <c r="F9" s="1024"/>
      <c r="G9" s="1024"/>
      <c r="H9" s="1024"/>
      <c r="I9" s="1024"/>
      <c r="J9" s="1024"/>
      <c r="K9" s="1024"/>
      <c r="L9" s="1024"/>
      <c r="M9" s="1024"/>
      <c r="N9" s="1024"/>
      <c r="O9" s="1024"/>
      <c r="P9" s="1024"/>
      <c r="Q9" s="244"/>
    </row>
    <row r="10" spans="1:19" ht="23.25" customHeight="1">
      <c r="C10" s="1028"/>
      <c r="D10" s="225"/>
      <c r="E10" s="1024" t="s">
        <v>275</v>
      </c>
      <c r="F10" s="1024"/>
      <c r="G10" s="1024"/>
      <c r="H10" s="1024"/>
      <c r="I10" s="1024"/>
      <c r="J10" s="1024"/>
      <c r="K10" s="1024"/>
      <c r="L10" s="1024"/>
      <c r="M10" s="1024"/>
      <c r="N10" s="1024"/>
      <c r="O10" s="1024"/>
      <c r="P10" s="1024"/>
      <c r="Q10" s="244"/>
    </row>
    <row r="11" spans="1:19" ht="23.25" customHeight="1">
      <c r="C11" s="1028"/>
      <c r="D11" s="225"/>
      <c r="E11" s="1024" t="s">
        <v>276</v>
      </c>
      <c r="F11" s="1024"/>
      <c r="G11" s="1024"/>
      <c r="H11" s="1024"/>
      <c r="I11" s="1024"/>
      <c r="J11" s="1024"/>
      <c r="K11" s="1024"/>
      <c r="L11" s="1024"/>
      <c r="M11" s="1024"/>
      <c r="N11" s="1024"/>
      <c r="O11" s="1024"/>
      <c r="P11" s="1024"/>
      <c r="Q11" s="244"/>
    </row>
    <row r="12" spans="1:19" ht="23.25" customHeight="1">
      <c r="C12" s="1029"/>
      <c r="D12" s="223"/>
      <c r="E12" s="549" t="s">
        <v>277</v>
      </c>
      <c r="F12" s="549"/>
      <c r="G12" s="549"/>
      <c r="H12" s="549"/>
      <c r="I12" s="549"/>
      <c r="J12" s="549"/>
      <c r="K12" s="549"/>
      <c r="L12" s="549"/>
      <c r="M12" s="549"/>
      <c r="N12" s="549"/>
      <c r="O12" s="549"/>
      <c r="P12" s="549"/>
      <c r="Q12" s="244"/>
    </row>
    <row r="13" spans="1:19" ht="23.25" customHeight="1">
      <c r="C13" s="1030" t="s">
        <v>279</v>
      </c>
      <c r="D13" s="227"/>
      <c r="E13" s="581" t="s">
        <v>80</v>
      </c>
      <c r="F13" s="581"/>
      <c r="G13" s="581"/>
      <c r="H13" s="228">
        <f>E17</f>
        <v>0</v>
      </c>
      <c r="I13" s="582" t="s">
        <v>180</v>
      </c>
      <c r="J13" s="582"/>
      <c r="K13" s="583"/>
      <c r="L13" s="583"/>
      <c r="M13" s="583"/>
      <c r="N13" s="583"/>
      <c r="O13" s="623"/>
      <c r="P13" s="623"/>
      <c r="Q13" s="362"/>
    </row>
    <row r="14" spans="1:19" ht="23.25" customHeight="1" thickBot="1">
      <c r="C14" s="1028"/>
      <c r="D14" s="222"/>
      <c r="E14" s="614" t="s">
        <v>207</v>
      </c>
      <c r="F14" s="614"/>
      <c r="G14" s="614"/>
      <c r="H14" s="614"/>
      <c r="I14" s="614"/>
      <c r="J14" s="614"/>
      <c r="K14" s="614"/>
      <c r="L14" s="614"/>
      <c r="M14" s="237"/>
      <c r="N14" s="615" t="s">
        <v>91</v>
      </c>
      <c r="O14" s="615"/>
      <c r="P14" s="237">
        <f>(E17-J19)/O17</f>
        <v>0</v>
      </c>
      <c r="Q14" s="244"/>
    </row>
    <row r="15" spans="1:19" ht="21.95" customHeight="1">
      <c r="C15" s="1028"/>
      <c r="D15" s="222"/>
      <c r="E15" s="626" t="s">
        <v>79</v>
      </c>
      <c r="F15" s="627"/>
      <c r="G15" s="616" t="s">
        <v>81</v>
      </c>
      <c r="H15" s="617"/>
      <c r="I15" s="617"/>
      <c r="J15" s="617"/>
      <c r="K15" s="617"/>
      <c r="L15" s="617"/>
      <c r="M15" s="617"/>
      <c r="N15" s="617"/>
      <c r="O15" s="617"/>
      <c r="P15" s="618"/>
      <c r="Q15" s="224"/>
      <c r="S15" s="428"/>
    </row>
    <row r="16" spans="1:19" ht="21.95" customHeight="1" thickBot="1">
      <c r="C16" s="1028"/>
      <c r="D16" s="222"/>
      <c r="E16" s="628" t="s">
        <v>82</v>
      </c>
      <c r="F16" s="621"/>
      <c r="G16" s="619" t="s">
        <v>77</v>
      </c>
      <c r="H16" s="620"/>
      <c r="I16" s="620"/>
      <c r="J16" s="619" t="s">
        <v>78</v>
      </c>
      <c r="K16" s="621"/>
      <c r="L16" s="619" t="s">
        <v>4</v>
      </c>
      <c r="M16" s="620"/>
      <c r="N16" s="620"/>
      <c r="O16" s="620"/>
      <c r="P16" s="622"/>
      <c r="Q16" s="245"/>
    </row>
    <row r="17" spans="3:17" ht="21.95" customHeight="1">
      <c r="C17" s="1028"/>
      <c r="D17" s="222"/>
      <c r="E17" s="575"/>
      <c r="F17" s="576"/>
      <c r="G17" s="587" t="s">
        <v>258</v>
      </c>
      <c r="H17" s="588"/>
      <c r="I17" s="589"/>
      <c r="J17" s="590"/>
      <c r="K17" s="591"/>
      <c r="L17" s="624" t="s">
        <v>259</v>
      </c>
      <c r="M17" s="625"/>
      <c r="N17" s="625"/>
      <c r="O17" s="491">
        <v>209</v>
      </c>
      <c r="P17" s="490" t="s">
        <v>181</v>
      </c>
      <c r="Q17" s="245"/>
    </row>
    <row r="18" spans="3:17" ht="21.95" customHeight="1">
      <c r="C18" s="1028"/>
      <c r="D18" s="222"/>
      <c r="E18" s="577"/>
      <c r="F18" s="578"/>
      <c r="G18" s="562" t="s">
        <v>260</v>
      </c>
      <c r="H18" s="563"/>
      <c r="I18" s="564"/>
      <c r="J18" s="565"/>
      <c r="K18" s="566"/>
      <c r="L18" s="610" t="s">
        <v>261</v>
      </c>
      <c r="M18" s="611"/>
      <c r="N18" s="611"/>
      <c r="O18" s="360">
        <v>0</v>
      </c>
      <c r="P18" s="229" t="s">
        <v>182</v>
      </c>
      <c r="Q18" s="245"/>
    </row>
    <row r="19" spans="3:17" ht="21.95" customHeight="1">
      <c r="C19" s="1028"/>
      <c r="D19" s="222"/>
      <c r="E19" s="577"/>
      <c r="F19" s="578"/>
      <c r="G19" s="562" t="s">
        <v>247</v>
      </c>
      <c r="H19" s="563"/>
      <c r="I19" s="564"/>
      <c r="J19" s="565"/>
      <c r="K19" s="566"/>
      <c r="L19" s="610" t="s">
        <v>262</v>
      </c>
      <c r="M19" s="611"/>
      <c r="N19" s="611"/>
      <c r="O19" s="611"/>
      <c r="P19" s="612"/>
      <c r="Q19" s="245"/>
    </row>
    <row r="20" spans="3:17" ht="21.95" customHeight="1">
      <c r="C20" s="1028"/>
      <c r="D20" s="222"/>
      <c r="E20" s="577"/>
      <c r="F20" s="578"/>
      <c r="G20" s="562" t="s">
        <v>248</v>
      </c>
      <c r="H20" s="563"/>
      <c r="I20" s="564"/>
      <c r="J20" s="568"/>
      <c r="K20" s="569"/>
      <c r="L20" s="610" t="s">
        <v>257</v>
      </c>
      <c r="M20" s="611"/>
      <c r="N20" s="611"/>
      <c r="O20" s="611"/>
      <c r="P20" s="612"/>
      <c r="Q20" s="245"/>
    </row>
    <row r="21" spans="3:17" ht="21.95" customHeight="1">
      <c r="C21" s="1028"/>
      <c r="D21" s="222"/>
      <c r="E21" s="577"/>
      <c r="F21" s="578"/>
      <c r="G21" s="567" t="s">
        <v>249</v>
      </c>
      <c r="H21" s="563"/>
      <c r="I21" s="564"/>
      <c r="J21" s="568"/>
      <c r="K21" s="569"/>
      <c r="L21" s="610" t="s">
        <v>256</v>
      </c>
      <c r="M21" s="611"/>
      <c r="N21" s="611"/>
      <c r="O21" s="611"/>
      <c r="P21" s="612"/>
      <c r="Q21" s="245"/>
    </row>
    <row r="22" spans="3:17" ht="21.95" customHeight="1" thickBot="1">
      <c r="C22" s="1028"/>
      <c r="D22" s="222"/>
      <c r="E22" s="579"/>
      <c r="F22" s="580"/>
      <c r="G22" s="570" t="s">
        <v>250</v>
      </c>
      <c r="H22" s="571"/>
      <c r="I22" s="572"/>
      <c r="J22" s="573"/>
      <c r="K22" s="574"/>
      <c r="L22" s="584" t="s">
        <v>256</v>
      </c>
      <c r="M22" s="585"/>
      <c r="N22" s="585"/>
      <c r="O22" s="585"/>
      <c r="P22" s="586"/>
      <c r="Q22" s="245"/>
    </row>
    <row r="23" spans="3:17" ht="23.25" customHeight="1">
      <c r="C23" s="1028"/>
      <c r="D23" s="222"/>
      <c r="E23" s="548" t="s">
        <v>208</v>
      </c>
      <c r="F23" s="548"/>
      <c r="G23" s="548"/>
      <c r="H23" s="548"/>
      <c r="I23" s="548"/>
      <c r="J23" s="548"/>
      <c r="K23" s="548"/>
      <c r="L23" s="548"/>
      <c r="M23" s="548"/>
      <c r="N23" s="548"/>
      <c r="O23" s="548"/>
      <c r="P23" s="548"/>
      <c r="Q23" s="245"/>
    </row>
    <row r="24" spans="3:17" ht="23.25" customHeight="1">
      <c r="C24" s="1028"/>
      <c r="D24" s="222"/>
      <c r="E24" s="548" t="s">
        <v>278</v>
      </c>
      <c r="F24" s="548"/>
      <c r="G24" s="548"/>
      <c r="H24" s="548"/>
      <c r="I24" s="548"/>
      <c r="J24" s="548"/>
      <c r="K24" s="548"/>
      <c r="L24" s="548"/>
      <c r="M24" s="548"/>
      <c r="N24" s="548"/>
      <c r="O24" s="548"/>
      <c r="P24" s="548"/>
      <c r="Q24" s="244"/>
    </row>
    <row r="25" spans="3:17" ht="23.25" customHeight="1">
      <c r="C25" s="1028"/>
      <c r="D25" s="222"/>
      <c r="E25" s="561" t="s">
        <v>209</v>
      </c>
      <c r="F25" s="561"/>
      <c r="G25" s="561"/>
      <c r="H25" s="561"/>
      <c r="I25" s="561"/>
      <c r="J25" s="561"/>
      <c r="K25" s="561"/>
      <c r="L25" s="561"/>
      <c r="M25" s="561"/>
      <c r="N25" s="561"/>
      <c r="O25" s="561"/>
      <c r="P25" s="561"/>
      <c r="Q25" s="244"/>
    </row>
    <row r="26" spans="3:17" ht="23.25" customHeight="1">
      <c r="C26" s="1031"/>
      <c r="D26" s="230"/>
      <c r="E26" s="231" t="s">
        <v>106</v>
      </c>
      <c r="F26" s="231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44"/>
    </row>
    <row r="27" spans="3:17" ht="15" customHeight="1">
      <c r="Q27" s="244"/>
    </row>
    <row r="28" spans="3:17" ht="24.95" customHeight="1">
      <c r="C28" s="558" t="s">
        <v>251</v>
      </c>
      <c r="D28" s="559"/>
      <c r="E28" s="559"/>
      <c r="F28" s="559"/>
      <c r="G28" s="559"/>
      <c r="H28" s="559"/>
      <c r="I28" s="559"/>
      <c r="J28" s="559"/>
      <c r="K28" s="559"/>
      <c r="L28" s="559"/>
      <c r="M28" s="559"/>
      <c r="N28" s="559"/>
      <c r="O28" s="559"/>
      <c r="P28" s="559"/>
      <c r="Q28" s="244"/>
    </row>
    <row r="29" spans="3:17" ht="15" customHeight="1">
      <c r="C29" s="560"/>
      <c r="D29" s="560"/>
      <c r="E29" s="560"/>
      <c r="F29" s="560"/>
      <c r="G29" s="560"/>
      <c r="H29" s="560"/>
      <c r="I29" s="560"/>
      <c r="J29" s="560"/>
      <c r="K29" s="560"/>
      <c r="L29" s="560"/>
      <c r="M29" s="560"/>
      <c r="N29" s="560"/>
      <c r="O29" s="560"/>
      <c r="P29" s="560"/>
      <c r="Q29" s="244"/>
    </row>
    <row r="30" spans="3:17" ht="17.25" customHeight="1">
      <c r="C30" s="551" t="s">
        <v>68</v>
      </c>
      <c r="D30" s="551"/>
      <c r="E30" s="551"/>
      <c r="F30" s="551"/>
      <c r="G30" s="551"/>
      <c r="H30" s="551"/>
      <c r="I30" s="551"/>
      <c r="J30" s="551"/>
      <c r="K30" s="551"/>
      <c r="L30" s="551"/>
      <c r="M30" s="551"/>
      <c r="N30" s="551"/>
      <c r="O30" s="551"/>
      <c r="P30" s="551"/>
      <c r="Q30" s="244"/>
    </row>
    <row r="31" spans="3:17" ht="15" customHeight="1">
      <c r="Q31" s="244"/>
    </row>
    <row r="32" spans="3:17" ht="18.75" customHeight="1">
      <c r="C32" s="550" t="s">
        <v>264</v>
      </c>
      <c r="D32" s="551"/>
      <c r="E32" s="551"/>
      <c r="F32" s="551"/>
      <c r="G32" s="551"/>
      <c r="H32" s="551"/>
      <c r="I32" s="551"/>
      <c r="J32" s="551"/>
      <c r="K32" s="551"/>
      <c r="L32" s="551"/>
      <c r="M32" s="551"/>
      <c r="N32" s="551"/>
      <c r="O32" s="551"/>
      <c r="P32" s="551"/>
      <c r="Q32" s="244"/>
    </row>
    <row r="33" spans="1:17" ht="15" customHeight="1">
      <c r="Q33" s="244"/>
    </row>
    <row r="34" spans="1:17" s="213" customFormat="1" ht="28.5" customHeight="1">
      <c r="A34" s="211"/>
      <c r="B34" s="211"/>
      <c r="C34" s="1033" t="s">
        <v>18</v>
      </c>
      <c r="D34" s="1034"/>
      <c r="E34" s="1034"/>
      <c r="F34" s="1034"/>
      <c r="G34" s="1034"/>
      <c r="H34" s="1034"/>
      <c r="I34" s="1035"/>
      <c r="J34" s="1033" t="s">
        <v>19</v>
      </c>
      <c r="K34" s="1034"/>
      <c r="L34" s="1034"/>
      <c r="M34" s="1034"/>
      <c r="N34" s="1034"/>
      <c r="O34" s="1034"/>
      <c r="P34" s="1035"/>
      <c r="Q34" s="211"/>
    </row>
    <row r="35" spans="1:17" s="213" customFormat="1" ht="28.5" customHeight="1">
      <c r="A35" s="211"/>
      <c r="B35" s="211"/>
      <c r="C35" s="552" t="s">
        <v>265</v>
      </c>
      <c r="D35" s="553"/>
      <c r="E35" s="553"/>
      <c r="F35" s="553"/>
      <c r="G35" s="553"/>
      <c r="H35" s="553"/>
      <c r="I35" s="554"/>
      <c r="J35" s="552" t="s">
        <v>93</v>
      </c>
      <c r="K35" s="553"/>
      <c r="L35" s="553"/>
      <c r="M35" s="553"/>
      <c r="N35" s="553"/>
      <c r="O35" s="553"/>
      <c r="P35" s="554"/>
      <c r="Q35" s="211"/>
    </row>
    <row r="36" spans="1:17" s="213" customFormat="1" ht="52.5" customHeight="1">
      <c r="A36" s="211"/>
      <c r="B36" s="211"/>
      <c r="C36" s="555" t="s">
        <v>94</v>
      </c>
      <c r="D36" s="556"/>
      <c r="E36" s="556"/>
      <c r="F36" s="556"/>
      <c r="G36" s="556"/>
      <c r="H36" s="556"/>
      <c r="I36" s="557"/>
      <c r="J36" s="555" t="s">
        <v>94</v>
      </c>
      <c r="K36" s="556"/>
      <c r="L36" s="556"/>
      <c r="M36" s="556"/>
      <c r="N36" s="556"/>
      <c r="O36" s="556"/>
      <c r="P36" s="557"/>
      <c r="Q36" s="211"/>
    </row>
    <row r="37" spans="1:17" s="213" customFormat="1" ht="28.5" customHeight="1">
      <c r="A37" s="211"/>
      <c r="B37" s="211"/>
      <c r="C37" s="543" t="s">
        <v>266</v>
      </c>
      <c r="D37" s="544"/>
      <c r="E37" s="544"/>
      <c r="F37" s="544"/>
      <c r="G37" s="544"/>
      <c r="H37" s="545" t="s">
        <v>184</v>
      </c>
      <c r="I37" s="546"/>
      <c r="J37" s="234" t="s">
        <v>95</v>
      </c>
      <c r="K37" s="547" t="s">
        <v>263</v>
      </c>
      <c r="L37" s="547"/>
      <c r="M37" s="547"/>
      <c r="N37" s="547"/>
      <c r="O37" s="235"/>
      <c r="P37" s="236" t="s">
        <v>185</v>
      </c>
      <c r="Q37" s="211"/>
    </row>
    <row r="38" spans="1:17" s="213" customFormat="1" ht="15" customHeight="1">
      <c r="A38" s="211"/>
      <c r="B38" s="211"/>
      <c r="C38" s="212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</row>
  </sheetData>
  <mergeCells count="62">
    <mergeCell ref="J34:P34"/>
    <mergeCell ref="C35:I35"/>
    <mergeCell ref="J35:P35"/>
    <mergeCell ref="C36:I36"/>
    <mergeCell ref="J36:P36"/>
    <mergeCell ref="C37:G37"/>
    <mergeCell ref="H37:I37"/>
    <mergeCell ref="K37:N37"/>
    <mergeCell ref="G22:I22"/>
    <mergeCell ref="J22:K22"/>
    <mergeCell ref="L22:P22"/>
    <mergeCell ref="C28:P28"/>
    <mergeCell ref="C29:P29"/>
    <mergeCell ref="C30:P30"/>
    <mergeCell ref="G20:I20"/>
    <mergeCell ref="J20:K20"/>
    <mergeCell ref="L20:P20"/>
    <mergeCell ref="G21:I21"/>
    <mergeCell ref="J21:K21"/>
    <mergeCell ref="L21:P21"/>
    <mergeCell ref="G18:I18"/>
    <mergeCell ref="J18:K18"/>
    <mergeCell ref="L18:N18"/>
    <mergeCell ref="G19:I19"/>
    <mergeCell ref="J19:K19"/>
    <mergeCell ref="L19:P19"/>
    <mergeCell ref="E14:L14"/>
    <mergeCell ref="N14:O14"/>
    <mergeCell ref="E15:F15"/>
    <mergeCell ref="G15:P15"/>
    <mergeCell ref="E16:F16"/>
    <mergeCell ref="G16:I16"/>
    <mergeCell ref="J16:K16"/>
    <mergeCell ref="L16:P16"/>
    <mergeCell ref="E11:P11"/>
    <mergeCell ref="E10:P10"/>
    <mergeCell ref="E9:P9"/>
    <mergeCell ref="C13:C26"/>
    <mergeCell ref="E13:G13"/>
    <mergeCell ref="I13:J13"/>
    <mergeCell ref="M13:N13"/>
    <mergeCell ref="O13:P13"/>
    <mergeCell ref="C6:C12"/>
    <mergeCell ref="F6:P6"/>
    <mergeCell ref="G7:P7"/>
    <mergeCell ref="E8:P8"/>
    <mergeCell ref="E12:P12"/>
    <mergeCell ref="K13:L13"/>
    <mergeCell ref="C32:P32"/>
    <mergeCell ref="C34:I34"/>
    <mergeCell ref="E25:P25"/>
    <mergeCell ref="E23:P23"/>
    <mergeCell ref="E24:P24"/>
    <mergeCell ref="E17:F22"/>
    <mergeCell ref="G17:I17"/>
    <mergeCell ref="J17:K17"/>
    <mergeCell ref="L17:N17"/>
    <mergeCell ref="C2:P2"/>
    <mergeCell ref="C4:G4"/>
    <mergeCell ref="H4:J4"/>
    <mergeCell ref="K4:P4"/>
    <mergeCell ref="C5:P5"/>
  </mergeCells>
  <phoneticPr fontId="15" type="noConversion"/>
  <pageMargins left="0.43307086614173229" right="0.43307086614173229" top="0.47244094488188981" bottom="0.51181102362204722" header="0.35433070866141736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7680A-1CC4-48D1-B425-C209C89458D2}">
  <dimension ref="A1:AD82"/>
  <sheetViews>
    <sheetView showGridLines="0" view="pageBreakPreview" zoomScale="85" zoomScaleNormal="100" zoomScaleSheetLayoutView="85" workbookViewId="0">
      <selection activeCell="AL21" sqref="AL21:AL22"/>
    </sheetView>
  </sheetViews>
  <sheetFormatPr defaultColWidth="8.88671875" defaultRowHeight="16.5"/>
  <cols>
    <col min="1" max="1" width="6" style="373" customWidth="1"/>
    <col min="2" max="2" width="2.6640625" style="373" customWidth="1"/>
    <col min="3" max="3" width="13.109375" style="374" customWidth="1"/>
    <col min="4" max="4" width="2.33203125" style="373" customWidth="1"/>
    <col min="5" max="5" width="13.5546875" style="373" customWidth="1"/>
    <col min="6" max="6" width="4.33203125" style="373" customWidth="1"/>
    <col min="7" max="7" width="1.77734375" style="373" customWidth="1"/>
    <col min="8" max="8" width="11.33203125" style="373" customWidth="1"/>
    <col min="9" max="9" width="4.33203125" style="373" customWidth="1"/>
    <col min="10" max="11" width="11.77734375" style="373" customWidth="1"/>
    <col min="12" max="12" width="3.21875" style="373" customWidth="1"/>
    <col min="13" max="13" width="4.33203125" style="373" customWidth="1"/>
    <col min="14" max="14" width="5.77734375" style="373" customWidth="1"/>
    <col min="15" max="15" width="5.109375" style="373" customWidth="1"/>
    <col min="16" max="16" width="11.33203125" style="373" customWidth="1"/>
    <col min="17" max="17" width="2.6640625" style="373" customWidth="1"/>
    <col min="18" max="18" width="9.33203125" style="373" customWidth="1"/>
    <col min="19" max="19" width="10.77734375" style="375" customWidth="1"/>
    <col min="20" max="20" width="8.77734375" style="373" customWidth="1"/>
    <col min="21" max="24" width="8.77734375" style="375" customWidth="1"/>
    <col min="25" max="26" width="8.77734375" style="373" customWidth="1"/>
    <col min="27" max="28" width="7.6640625" style="373" customWidth="1"/>
    <col min="29" max="29" width="12.77734375" style="373" bestFit="1" customWidth="1"/>
    <col min="30" max="16384" width="8.88671875" style="373"/>
  </cols>
  <sheetData>
    <row r="1" spans="1:30" ht="16.5" customHeight="1" thickBot="1">
      <c r="T1" s="629" t="s">
        <v>141</v>
      </c>
      <c r="U1" s="629"/>
      <c r="V1" s="629"/>
      <c r="W1" s="629"/>
      <c r="X1" s="629" t="s">
        <v>142</v>
      </c>
      <c r="Y1" s="629"/>
      <c r="Z1" s="629"/>
    </row>
    <row r="2" spans="1:30" ht="57" customHeight="1" thickBot="1">
      <c r="A2" s="376">
        <v>1</v>
      </c>
      <c r="C2" s="724" t="s">
        <v>54</v>
      </c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4"/>
      <c r="P2" s="724"/>
      <c r="Q2" s="377"/>
      <c r="T2" s="378">
        <v>0.33333333333333331</v>
      </c>
      <c r="U2" s="379">
        <v>0.70833333333333337</v>
      </c>
      <c r="V2" s="379">
        <v>6.25E-2</v>
      </c>
      <c r="W2" s="380">
        <f>U2-T2-V2</f>
        <v>0.31250000000000006</v>
      </c>
      <c r="X2" s="378"/>
      <c r="Y2" s="379"/>
      <c r="Z2" s="381">
        <f>Y2-X2</f>
        <v>0</v>
      </c>
    </row>
    <row r="3" spans="1:30" ht="15" customHeight="1">
      <c r="C3" s="382"/>
      <c r="D3" s="383"/>
      <c r="U3" s="373"/>
      <c r="V3" s="373"/>
      <c r="W3" s="375" t="s">
        <v>52</v>
      </c>
      <c r="Y3" s="375"/>
      <c r="Z3" s="375" t="s">
        <v>219</v>
      </c>
    </row>
    <row r="4" spans="1:30" ht="24.95" customHeight="1" thickBot="1">
      <c r="C4" s="725" t="e">
        <f>#REF! &amp; " 대표와 근로자 ["</f>
        <v>#REF!</v>
      </c>
      <c r="D4" s="725"/>
      <c r="E4" s="725"/>
      <c r="F4" s="725"/>
      <c r="G4" s="725"/>
      <c r="H4" s="726" t="e">
        <f>_xlfn.XLOOKUP(A2,#REF!,#REF!)</f>
        <v>#REF!</v>
      </c>
      <c r="I4" s="726"/>
      <c r="J4" s="726"/>
      <c r="K4" s="727" t="s">
        <v>55</v>
      </c>
      <c r="L4" s="727"/>
      <c r="M4" s="727"/>
      <c r="N4" s="727"/>
      <c r="O4" s="727"/>
      <c r="P4" s="727"/>
      <c r="Q4" s="384"/>
      <c r="R4" s="385" t="e">
        <f>_xlfn.XLOOKUP(A2,#REF!,#REF!)</f>
        <v>#REF!</v>
      </c>
      <c r="S4" s="386"/>
      <c r="U4" s="373"/>
      <c r="V4" s="373"/>
      <c r="W4" s="387">
        <f>W2*24</f>
        <v>7.5000000000000018</v>
      </c>
      <c r="X4" s="373"/>
      <c r="Z4" s="387">
        <f>Z2*24</f>
        <v>0</v>
      </c>
    </row>
    <row r="5" spans="1:30" ht="24.95" customHeight="1" thickBot="1">
      <c r="C5" s="728" t="s">
        <v>56</v>
      </c>
      <c r="D5" s="728"/>
      <c r="E5" s="728"/>
      <c r="F5" s="728"/>
      <c r="G5" s="728"/>
      <c r="H5" s="728"/>
      <c r="I5" s="728"/>
      <c r="J5" s="728"/>
      <c r="K5" s="728"/>
      <c r="L5" s="728"/>
      <c r="M5" s="728"/>
      <c r="N5" s="728"/>
      <c r="O5" s="728"/>
      <c r="P5" s="728"/>
      <c r="Q5" s="388"/>
      <c r="S5" s="389" t="s">
        <v>22</v>
      </c>
      <c r="T5" s="390" t="s">
        <v>220</v>
      </c>
      <c r="U5" s="391" t="s">
        <v>221</v>
      </c>
      <c r="V5" s="392" t="s">
        <v>222</v>
      </c>
      <c r="W5" s="393" t="s">
        <v>20</v>
      </c>
      <c r="X5" s="392" t="s">
        <v>53</v>
      </c>
      <c r="Y5" s="394" t="s">
        <v>92</v>
      </c>
      <c r="Z5" s="395" t="s">
        <v>202</v>
      </c>
      <c r="AA5" s="729" t="s">
        <v>223</v>
      </c>
      <c r="AB5" s="730"/>
    </row>
    <row r="6" spans="1:30" ht="24.95" customHeight="1" thickBot="1">
      <c r="C6" s="731" t="s">
        <v>76</v>
      </c>
      <c r="D6" s="396"/>
      <c r="E6" s="397" t="s">
        <v>57</v>
      </c>
      <c r="F6" s="732" t="e">
        <f>#REF! &amp; "의 사업장 및 영업에 관한 장소"</f>
        <v>#REF!</v>
      </c>
      <c r="G6" s="732"/>
      <c r="H6" s="732"/>
      <c r="I6" s="732"/>
      <c r="J6" s="732"/>
      <c r="K6" s="732"/>
      <c r="L6" s="732"/>
      <c r="M6" s="732"/>
      <c r="N6" s="732"/>
      <c r="O6" s="732"/>
      <c r="P6" s="732"/>
      <c r="Q6" s="398"/>
      <c r="S6" s="399" t="s">
        <v>224</v>
      </c>
      <c r="T6" s="400">
        <f>W2*24</f>
        <v>7.5000000000000018</v>
      </c>
      <c r="U6" s="401">
        <f>(7.5*5)/5/5</f>
        <v>1.5</v>
      </c>
      <c r="V6" s="402">
        <f>Z2*24</f>
        <v>0</v>
      </c>
      <c r="W6" s="402"/>
      <c r="X6" s="403"/>
      <c r="Y6" s="404"/>
      <c r="Z6" s="405"/>
      <c r="AA6" s="733">
        <f>T6+U6+(V6*1.5)+(W6*0.5)+(X6*1.5)+(Y6*2)+Z6</f>
        <v>9.0000000000000018</v>
      </c>
      <c r="AB6" s="734"/>
    </row>
    <row r="7" spans="1:30" ht="24.95" customHeight="1">
      <c r="C7" s="645"/>
      <c r="D7" s="406"/>
      <c r="E7" s="407" t="s">
        <v>58</v>
      </c>
      <c r="F7" s="407"/>
      <c r="G7" s="655"/>
      <c r="H7" s="655"/>
      <c r="I7" s="655"/>
      <c r="J7" s="655"/>
      <c r="K7" s="655"/>
      <c r="L7" s="655"/>
      <c r="M7" s="655"/>
      <c r="N7" s="655"/>
      <c r="O7" s="655"/>
      <c r="P7" s="655"/>
      <c r="Q7" s="398"/>
      <c r="S7" s="386"/>
      <c r="U7" s="375" t="s">
        <v>225</v>
      </c>
      <c r="V7" s="373"/>
      <c r="W7" s="373"/>
      <c r="X7" s="373"/>
    </row>
    <row r="8" spans="1:30" ht="24.95" customHeight="1" thickBot="1">
      <c r="C8" s="654"/>
      <c r="D8" s="408"/>
      <c r="E8" s="656" t="s">
        <v>59</v>
      </c>
      <c r="F8" s="656"/>
      <c r="G8" s="656"/>
      <c r="H8" s="656"/>
      <c r="I8" s="656"/>
      <c r="J8" s="656"/>
      <c r="K8" s="656"/>
      <c r="L8" s="656"/>
      <c r="M8" s="656"/>
      <c r="N8" s="656"/>
      <c r="O8" s="656"/>
      <c r="P8" s="656"/>
      <c r="Q8" s="398"/>
      <c r="S8" s="409"/>
      <c r="T8" s="410"/>
      <c r="U8" s="410"/>
      <c r="V8" s="410"/>
      <c r="W8" s="373"/>
      <c r="X8" s="373"/>
      <c r="Z8" s="411"/>
      <c r="AA8" s="410"/>
      <c r="AB8" s="410"/>
    </row>
    <row r="9" spans="1:30" ht="24.95" customHeight="1" thickBot="1">
      <c r="C9" s="657" t="s">
        <v>60</v>
      </c>
      <c r="D9" s="412"/>
      <c r="E9" s="136" t="s">
        <v>125</v>
      </c>
      <c r="F9" s="721" t="s">
        <v>175</v>
      </c>
      <c r="G9" s="721"/>
      <c r="H9" s="721"/>
      <c r="I9" s="721"/>
      <c r="J9" s="413"/>
      <c r="K9" s="722"/>
      <c r="L9" s="722"/>
      <c r="M9" s="414"/>
      <c r="N9" s="414"/>
      <c r="O9" s="414"/>
      <c r="P9" s="414"/>
      <c r="Q9" s="398"/>
      <c r="S9" s="415" t="s">
        <v>226</v>
      </c>
      <c r="T9" s="416" t="s">
        <v>21</v>
      </c>
      <c r="U9" s="417" t="s">
        <v>39</v>
      </c>
      <c r="V9" s="391" t="s">
        <v>40</v>
      </c>
      <c r="W9" s="391" t="s">
        <v>41</v>
      </c>
      <c r="X9" s="391" t="s">
        <v>45</v>
      </c>
      <c r="Y9" s="418" t="s">
        <v>202</v>
      </c>
      <c r="Z9" s="419" t="s">
        <v>13</v>
      </c>
    </row>
    <row r="10" spans="1:30" ht="24.95" customHeight="1">
      <c r="C10" s="645"/>
      <c r="D10" s="406"/>
      <c r="E10" s="420" t="s">
        <v>124</v>
      </c>
      <c r="F10" s="723" t="s">
        <v>175</v>
      </c>
      <c r="G10" s="723"/>
      <c r="H10" s="723"/>
      <c r="I10" s="723"/>
      <c r="J10" s="670" t="s">
        <v>176</v>
      </c>
      <c r="K10" s="670"/>
      <c r="L10" s="670"/>
      <c r="M10" s="670"/>
      <c r="N10" s="670"/>
      <c r="O10" s="670"/>
      <c r="P10" s="670"/>
      <c r="Q10" s="398"/>
      <c r="S10" s="421">
        <v>130000</v>
      </c>
      <c r="T10" s="422">
        <f>S10/$AA$6</f>
        <v>14444.444444444442</v>
      </c>
      <c r="U10" s="423">
        <f>ROUND(T10*$T$6,-1)</f>
        <v>108330</v>
      </c>
      <c r="V10" s="424">
        <f>ROUND(T10*$U$6,-1)</f>
        <v>21670</v>
      </c>
      <c r="W10" s="424">
        <f>ROUND(T10*$V$6*1.5,-1)</f>
        <v>0</v>
      </c>
      <c r="X10" s="424">
        <f>ROUND(T10*$W$6*0.5,-1)</f>
        <v>0</v>
      </c>
      <c r="Y10" s="425">
        <f>ROUND(T10*$W$6*1,-1)</f>
        <v>0</v>
      </c>
      <c r="Z10" s="426">
        <f t="shared" ref="Z10:Z24" si="0">SUM(U10:Y10)</f>
        <v>130000</v>
      </c>
      <c r="AA10" s="427" t="b">
        <f>Z10=S10</f>
        <v>1</v>
      </c>
      <c r="AB10" s="428">
        <f>U10/$T$6</f>
        <v>14443.999999999996</v>
      </c>
      <c r="AC10" s="410">
        <f>(365/12)-(365/12/7)*2</f>
        <v>21.726190476190474</v>
      </c>
      <c r="AD10" s="373">
        <f>AC10*S10</f>
        <v>2824404.7619047617</v>
      </c>
    </row>
    <row r="11" spans="1:30" ht="24.95" customHeight="1">
      <c r="C11" s="654"/>
      <c r="D11" s="429"/>
      <c r="E11" s="664" t="s">
        <v>126</v>
      </c>
      <c r="F11" s="664"/>
      <c r="G11" s="664"/>
      <c r="H11" s="664"/>
      <c r="I11" s="664"/>
      <c r="J11" s="664"/>
      <c r="K11" s="664"/>
      <c r="L11" s="664"/>
      <c r="M11" s="664"/>
      <c r="N11" s="430"/>
      <c r="O11" s="430"/>
      <c r="P11" s="431"/>
      <c r="Q11" s="420"/>
      <c r="S11" s="432">
        <f>S10+10000</f>
        <v>140000</v>
      </c>
      <c r="T11" s="433">
        <f t="shared" ref="T11:T24" si="1">S11/$AA$6</f>
        <v>15555.555555555553</v>
      </c>
      <c r="U11" s="434">
        <f t="shared" ref="U11:U24" si="2">ROUND(T11*$T$6,-1)</f>
        <v>116670</v>
      </c>
      <c r="V11" s="435">
        <f t="shared" ref="V11:V24" si="3">ROUND(T11*$U$6,-1)</f>
        <v>23330</v>
      </c>
      <c r="W11" s="436">
        <f t="shared" ref="W11:W24" si="4">ROUND(T11*$V$6*1.5,-1)</f>
        <v>0</v>
      </c>
      <c r="X11" s="436">
        <f t="shared" ref="X11:X24" si="5">ROUND(T11*$W$6*0.5,-1)</f>
        <v>0</v>
      </c>
      <c r="Y11" s="437">
        <f t="shared" ref="Y11:Y24" si="6">ROUND(T11*$W$6*1,-1)</f>
        <v>0</v>
      </c>
      <c r="Z11" s="438">
        <f t="shared" si="0"/>
        <v>140000</v>
      </c>
      <c r="AA11" s="427" t="b">
        <f t="shared" ref="AA11:AA20" si="7">Z11=S11</f>
        <v>1</v>
      </c>
      <c r="AB11" s="428">
        <f t="shared" ref="AB11:AB24" si="8">U11/$T$6</f>
        <v>15555.999999999996</v>
      </c>
      <c r="AC11" s="410">
        <f>T10*7.5*6*AD11</f>
        <v>2824404.7619047617</v>
      </c>
      <c r="AD11" s="373">
        <f>365/7/12</f>
        <v>4.3452380952380958</v>
      </c>
    </row>
    <row r="12" spans="1:30" ht="24.95" customHeight="1">
      <c r="C12" s="645" t="s">
        <v>75</v>
      </c>
      <c r="D12" s="406"/>
      <c r="E12" s="369" t="s">
        <v>177</v>
      </c>
      <c r="F12" s="483" t="e">
        <f>_xlfn.XLOOKUP(R4,#REF!,#REF!)</f>
        <v>#REF!</v>
      </c>
      <c r="G12" s="708" t="s">
        <v>178</v>
      </c>
      <c r="H12" s="708"/>
      <c r="I12" s="708"/>
      <c r="J12" s="708"/>
      <c r="K12" s="708"/>
      <c r="L12" s="708"/>
      <c r="M12" s="708"/>
      <c r="N12" s="708"/>
      <c r="O12" s="708"/>
      <c r="P12" s="708"/>
      <c r="Q12" s="398"/>
      <c r="S12" s="432">
        <f t="shared" ref="S12:S24" si="9">S11+10000</f>
        <v>150000</v>
      </c>
      <c r="T12" s="433">
        <f t="shared" si="1"/>
        <v>16666.666666666664</v>
      </c>
      <c r="U12" s="434">
        <f t="shared" si="2"/>
        <v>125000</v>
      </c>
      <c r="V12" s="435">
        <f t="shared" si="3"/>
        <v>25000</v>
      </c>
      <c r="W12" s="436">
        <f t="shared" si="4"/>
        <v>0</v>
      </c>
      <c r="X12" s="436">
        <f t="shared" si="5"/>
        <v>0</v>
      </c>
      <c r="Y12" s="437">
        <f t="shared" si="6"/>
        <v>0</v>
      </c>
      <c r="Z12" s="438">
        <f t="shared" si="0"/>
        <v>150000</v>
      </c>
      <c r="AA12" s="427" t="b">
        <f t="shared" si="7"/>
        <v>1</v>
      </c>
      <c r="AB12" s="428">
        <f t="shared" si="8"/>
        <v>16666.666666666664</v>
      </c>
    </row>
    <row r="13" spans="1:30" ht="30" customHeight="1">
      <c r="C13" s="645"/>
      <c r="D13" s="406"/>
      <c r="E13" s="709" t="s">
        <v>73</v>
      </c>
      <c r="F13" s="710"/>
      <c r="G13" s="711"/>
      <c r="H13" s="712" t="s">
        <v>61</v>
      </c>
      <c r="I13" s="713"/>
      <c r="J13" s="714"/>
      <c r="K13" s="715" t="s">
        <v>17</v>
      </c>
      <c r="L13" s="716"/>
      <c r="M13" s="716"/>
      <c r="N13" s="717"/>
      <c r="O13" s="600" t="e">
        <f>IF(_xlfn.XLOOKUP(R4,#REF!,#REF!)&gt;=40,"비고 ","근로일별 근로시간")</f>
        <v>#REF!</v>
      </c>
      <c r="P13" s="600"/>
      <c r="Q13" s="439"/>
      <c r="S13" s="432">
        <f t="shared" si="9"/>
        <v>160000</v>
      </c>
      <c r="T13" s="440">
        <f t="shared" si="1"/>
        <v>17777.777777777774</v>
      </c>
      <c r="U13" s="434">
        <f t="shared" si="2"/>
        <v>133330</v>
      </c>
      <c r="V13" s="435">
        <f t="shared" si="3"/>
        <v>26670</v>
      </c>
      <c r="W13" s="436">
        <f t="shared" si="4"/>
        <v>0</v>
      </c>
      <c r="X13" s="436">
        <f t="shared" si="5"/>
        <v>0</v>
      </c>
      <c r="Y13" s="437">
        <f t="shared" si="6"/>
        <v>0</v>
      </c>
      <c r="Z13" s="438">
        <f t="shared" si="0"/>
        <v>160000</v>
      </c>
      <c r="AA13" s="427" t="b">
        <f t="shared" si="7"/>
        <v>1</v>
      </c>
      <c r="AB13" s="428">
        <f t="shared" si="8"/>
        <v>17777.333333333328</v>
      </c>
      <c r="AC13" s="410"/>
    </row>
    <row r="14" spans="1:30" ht="30" customHeight="1">
      <c r="C14" s="645"/>
      <c r="D14" s="441"/>
      <c r="E14" s="718" t="s">
        <v>143</v>
      </c>
      <c r="F14" s="719"/>
      <c r="G14" s="720"/>
      <c r="H14" s="372" t="e">
        <f>_xlfn.XLOOKUP(A2,#REF!,#REF!)</f>
        <v>#REF!</v>
      </c>
      <c r="I14" s="370" t="e">
        <f>_xlfn.XLOOKUP(A2,#REF!,#REF!)</f>
        <v>#REF!</v>
      </c>
      <c r="J14" s="371" t="e">
        <f>_xlfn.XLOOKUP(A2,#REF!,#REF!)</f>
        <v>#REF!</v>
      </c>
      <c r="K14" s="604" t="e">
        <f>_xlfn.XLOOKUP(A2,#REF!,#REF!)</f>
        <v>#REF!</v>
      </c>
      <c r="L14" s="605"/>
      <c r="M14" s="605"/>
      <c r="N14" s="606"/>
      <c r="O14" s="607" t="e">
        <f>IF(E14="","",IF(_xlfn.XLOOKUP(R4,#REF!,#REF!)&gt;=40,"",INDEX(#REF!,MATCH(R4,#REF!,0))&amp;"시간"))</f>
        <v>#REF!</v>
      </c>
      <c r="P14" s="608"/>
      <c r="Q14" s="442"/>
      <c r="R14" s="373" t="s">
        <v>218</v>
      </c>
      <c r="S14" s="432">
        <f t="shared" si="9"/>
        <v>170000</v>
      </c>
      <c r="T14" s="440">
        <f t="shared" si="1"/>
        <v>18888.888888888887</v>
      </c>
      <c r="U14" s="434">
        <f t="shared" si="2"/>
        <v>141670</v>
      </c>
      <c r="V14" s="435">
        <f t="shared" si="3"/>
        <v>28330</v>
      </c>
      <c r="W14" s="436">
        <f t="shared" si="4"/>
        <v>0</v>
      </c>
      <c r="X14" s="436">
        <f t="shared" si="5"/>
        <v>0</v>
      </c>
      <c r="Y14" s="437">
        <f t="shared" si="6"/>
        <v>0</v>
      </c>
      <c r="Z14" s="438">
        <f t="shared" si="0"/>
        <v>170000</v>
      </c>
      <c r="AA14" s="427" t="b">
        <f t="shared" si="7"/>
        <v>1</v>
      </c>
      <c r="AB14" s="428">
        <f t="shared" si="8"/>
        <v>18889.333333333328</v>
      </c>
    </row>
    <row r="15" spans="1:30" ht="30" customHeight="1">
      <c r="C15" s="645"/>
      <c r="D15" s="441"/>
      <c r="E15" s="601" t="s">
        <v>144</v>
      </c>
      <c r="F15" s="602"/>
      <c r="G15" s="603"/>
      <c r="H15" s="372" t="e">
        <f>_xlfn.XLOOKUP(A2,#REF!,#REF!)</f>
        <v>#REF!</v>
      </c>
      <c r="I15" s="370" t="e">
        <f>_xlfn.XLOOKUP(A2,#REF!,#REF!)</f>
        <v>#REF!</v>
      </c>
      <c r="J15" s="371" t="e">
        <f>_xlfn.XLOOKUP(A2,#REF!,#REF!)</f>
        <v>#REF!</v>
      </c>
      <c r="K15" s="604" t="e">
        <f>_xlfn.XLOOKUP(A2,#REF!,#REF!)</f>
        <v>#REF!</v>
      </c>
      <c r="L15" s="605"/>
      <c r="M15" s="605"/>
      <c r="N15" s="606"/>
      <c r="O15" s="607" t="e">
        <f>IF(E15="","",IF(_xlfn.XLOOKUP(R4,#REF!,#REF!)&gt;=40,"",INDEX(#REF!,MATCH(R4,#REF!,0))&amp;"시간"))</f>
        <v>#REF!</v>
      </c>
      <c r="P15" s="608"/>
      <c r="Q15" s="442"/>
      <c r="S15" s="432">
        <f t="shared" si="9"/>
        <v>180000</v>
      </c>
      <c r="T15" s="440">
        <f t="shared" si="1"/>
        <v>19999.999999999996</v>
      </c>
      <c r="U15" s="434">
        <f t="shared" si="2"/>
        <v>150000</v>
      </c>
      <c r="V15" s="435">
        <f t="shared" si="3"/>
        <v>30000</v>
      </c>
      <c r="W15" s="436">
        <f t="shared" si="4"/>
        <v>0</v>
      </c>
      <c r="X15" s="436">
        <f t="shared" si="5"/>
        <v>0</v>
      </c>
      <c r="Y15" s="437">
        <f t="shared" si="6"/>
        <v>0</v>
      </c>
      <c r="Z15" s="438">
        <f t="shared" si="0"/>
        <v>180000</v>
      </c>
      <c r="AA15" s="427" t="b">
        <f t="shared" si="7"/>
        <v>1</v>
      </c>
      <c r="AB15" s="428">
        <f t="shared" si="8"/>
        <v>19999.999999999996</v>
      </c>
    </row>
    <row r="16" spans="1:30" ht="24.95" customHeight="1">
      <c r="C16" s="645"/>
      <c r="D16" s="441"/>
      <c r="E16" s="609" t="s">
        <v>192</v>
      </c>
      <c r="F16" s="609"/>
      <c r="G16" s="609"/>
      <c r="H16" s="609"/>
      <c r="I16" s="609"/>
      <c r="J16" s="609"/>
      <c r="K16" s="609"/>
      <c r="L16" s="609"/>
      <c r="M16" s="609"/>
      <c r="N16" s="609"/>
      <c r="O16" s="609"/>
      <c r="P16" s="609"/>
      <c r="Q16" s="420"/>
      <c r="S16" s="432">
        <f t="shared" si="9"/>
        <v>190000</v>
      </c>
      <c r="T16" s="440">
        <f t="shared" si="1"/>
        <v>21111.111111111106</v>
      </c>
      <c r="U16" s="434">
        <f t="shared" si="2"/>
        <v>158330</v>
      </c>
      <c r="V16" s="435">
        <f t="shared" si="3"/>
        <v>31670</v>
      </c>
      <c r="W16" s="436">
        <f t="shared" si="4"/>
        <v>0</v>
      </c>
      <c r="X16" s="436">
        <f t="shared" si="5"/>
        <v>0</v>
      </c>
      <c r="Y16" s="437">
        <f t="shared" si="6"/>
        <v>0</v>
      </c>
      <c r="Z16" s="438">
        <f t="shared" si="0"/>
        <v>190000</v>
      </c>
      <c r="AA16" s="427" t="b">
        <f t="shared" si="7"/>
        <v>1</v>
      </c>
      <c r="AB16" s="428">
        <f t="shared" si="8"/>
        <v>21110.666666666661</v>
      </c>
    </row>
    <row r="17" spans="1:28" ht="24.95" customHeight="1">
      <c r="C17" s="645"/>
      <c r="D17" s="441"/>
      <c r="E17" s="361"/>
      <c r="F17" s="361"/>
      <c r="G17" s="361"/>
      <c r="H17" s="361"/>
      <c r="I17" s="361"/>
      <c r="J17" s="685" t="s">
        <v>179</v>
      </c>
      <c r="K17" s="685"/>
      <c r="L17" s="685"/>
      <c r="M17" s="685"/>
      <c r="N17" s="685"/>
      <c r="O17" s="685"/>
      <c r="P17" s="685"/>
      <c r="Q17" s="420"/>
      <c r="S17" s="432">
        <f t="shared" si="9"/>
        <v>200000</v>
      </c>
      <c r="T17" s="440">
        <f t="shared" si="1"/>
        <v>22222.222222222219</v>
      </c>
      <c r="U17" s="434">
        <f t="shared" si="2"/>
        <v>166670</v>
      </c>
      <c r="V17" s="435">
        <f t="shared" si="3"/>
        <v>33330</v>
      </c>
      <c r="W17" s="436">
        <f t="shared" si="4"/>
        <v>0</v>
      </c>
      <c r="X17" s="436">
        <f t="shared" si="5"/>
        <v>0</v>
      </c>
      <c r="Y17" s="437">
        <f t="shared" si="6"/>
        <v>0</v>
      </c>
      <c r="Z17" s="438">
        <f t="shared" si="0"/>
        <v>200000</v>
      </c>
      <c r="AA17" s="427" t="b">
        <f t="shared" si="7"/>
        <v>1</v>
      </c>
      <c r="AB17" s="428">
        <f t="shared" si="8"/>
        <v>22222.666666666661</v>
      </c>
    </row>
    <row r="18" spans="1:28" ht="24.95" customHeight="1">
      <c r="C18" s="645"/>
      <c r="D18" s="441"/>
      <c r="E18" s="420" t="s">
        <v>194</v>
      </c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S18" s="432">
        <f t="shared" si="9"/>
        <v>210000</v>
      </c>
      <c r="T18" s="440">
        <f t="shared" si="1"/>
        <v>23333.333333333328</v>
      </c>
      <c r="U18" s="434">
        <f t="shared" si="2"/>
        <v>175000</v>
      </c>
      <c r="V18" s="435">
        <f t="shared" si="3"/>
        <v>35000</v>
      </c>
      <c r="W18" s="436">
        <f t="shared" si="4"/>
        <v>0</v>
      </c>
      <c r="X18" s="436">
        <f t="shared" si="5"/>
        <v>0</v>
      </c>
      <c r="Y18" s="437">
        <f t="shared" si="6"/>
        <v>0</v>
      </c>
      <c r="Z18" s="438">
        <f t="shared" si="0"/>
        <v>210000</v>
      </c>
      <c r="AA18" s="427" t="b">
        <f t="shared" si="7"/>
        <v>1</v>
      </c>
      <c r="AB18" s="428">
        <f t="shared" si="8"/>
        <v>23333.333333333328</v>
      </c>
    </row>
    <row r="19" spans="1:28" ht="24.95" customHeight="1">
      <c r="C19" s="645"/>
      <c r="D19" s="441"/>
      <c r="E19" s="707" t="s">
        <v>127</v>
      </c>
      <c r="F19" s="707"/>
      <c r="G19" s="707"/>
      <c r="H19" s="707"/>
      <c r="I19" s="707"/>
      <c r="J19" s="707"/>
      <c r="K19" s="707"/>
      <c r="L19" s="707"/>
      <c r="M19" s="707"/>
      <c r="N19" s="707"/>
      <c r="O19" s="707"/>
      <c r="P19" s="707"/>
      <c r="Q19" s="443"/>
      <c r="S19" s="432">
        <f t="shared" si="9"/>
        <v>220000</v>
      </c>
      <c r="T19" s="440">
        <f t="shared" si="1"/>
        <v>24444.444444444438</v>
      </c>
      <c r="U19" s="434">
        <f t="shared" si="2"/>
        <v>183330</v>
      </c>
      <c r="V19" s="435">
        <f t="shared" si="3"/>
        <v>36670</v>
      </c>
      <c r="W19" s="436">
        <f t="shared" si="4"/>
        <v>0</v>
      </c>
      <c r="X19" s="436">
        <f t="shared" si="5"/>
        <v>0</v>
      </c>
      <c r="Y19" s="437">
        <f t="shared" si="6"/>
        <v>0</v>
      </c>
      <c r="Z19" s="438">
        <f t="shared" si="0"/>
        <v>220000</v>
      </c>
      <c r="AA19" s="427" t="b">
        <f t="shared" si="7"/>
        <v>1</v>
      </c>
      <c r="AB19" s="428">
        <f t="shared" si="8"/>
        <v>24443.999999999993</v>
      </c>
    </row>
    <row r="20" spans="1:28" ht="24.95" customHeight="1">
      <c r="C20" s="654"/>
      <c r="D20" s="444"/>
      <c r="E20" s="445"/>
      <c r="F20" s="445"/>
      <c r="G20" s="446"/>
      <c r="H20" s="446"/>
      <c r="I20" s="446"/>
      <c r="J20" s="685" t="s">
        <v>179</v>
      </c>
      <c r="K20" s="685"/>
      <c r="L20" s="685"/>
      <c r="M20" s="685"/>
      <c r="N20" s="685"/>
      <c r="O20" s="685"/>
      <c r="P20" s="685"/>
      <c r="Q20" s="398"/>
      <c r="S20" s="432">
        <f t="shared" si="9"/>
        <v>230000</v>
      </c>
      <c r="T20" s="440">
        <f t="shared" si="1"/>
        <v>25555.555555555551</v>
      </c>
      <c r="U20" s="434">
        <f t="shared" si="2"/>
        <v>191670</v>
      </c>
      <c r="V20" s="435">
        <f t="shared" si="3"/>
        <v>38330</v>
      </c>
      <c r="W20" s="436">
        <f t="shared" si="4"/>
        <v>0</v>
      </c>
      <c r="X20" s="436">
        <f t="shared" si="5"/>
        <v>0</v>
      </c>
      <c r="Y20" s="437">
        <f t="shared" si="6"/>
        <v>0</v>
      </c>
      <c r="Z20" s="438">
        <f t="shared" si="0"/>
        <v>230000</v>
      </c>
      <c r="AA20" s="427" t="b">
        <f t="shared" si="7"/>
        <v>1</v>
      </c>
      <c r="AB20" s="428">
        <f t="shared" si="8"/>
        <v>25555.999999999993</v>
      </c>
    </row>
    <row r="21" spans="1:28" ht="24.95" customHeight="1">
      <c r="C21" s="657" t="s">
        <v>62</v>
      </c>
      <c r="D21" s="406"/>
      <c r="E21" s="680" t="s">
        <v>210</v>
      </c>
      <c r="F21" s="680"/>
      <c r="G21" s="680"/>
      <c r="H21" s="680"/>
      <c r="I21" s="680"/>
      <c r="J21" s="680"/>
      <c r="K21" s="680"/>
      <c r="L21" s="680"/>
      <c r="M21" s="680"/>
      <c r="N21" s="680"/>
      <c r="O21" s="680"/>
      <c r="P21" s="680"/>
      <c r="Q21" s="447"/>
      <c r="S21" s="432">
        <f t="shared" si="9"/>
        <v>240000</v>
      </c>
      <c r="T21" s="440">
        <f t="shared" si="1"/>
        <v>26666.666666666661</v>
      </c>
      <c r="U21" s="434">
        <f t="shared" si="2"/>
        <v>200000</v>
      </c>
      <c r="V21" s="435">
        <f t="shared" si="3"/>
        <v>40000</v>
      </c>
      <c r="W21" s="436">
        <f t="shared" si="4"/>
        <v>0</v>
      </c>
      <c r="X21" s="436">
        <f t="shared" si="5"/>
        <v>0</v>
      </c>
      <c r="Y21" s="437">
        <f t="shared" si="6"/>
        <v>0</v>
      </c>
      <c r="Z21" s="438">
        <f t="shared" si="0"/>
        <v>240000</v>
      </c>
      <c r="AA21" s="427" t="b">
        <f>Z21=S21</f>
        <v>1</v>
      </c>
      <c r="AB21" s="428">
        <f t="shared" si="8"/>
        <v>26666.666666666661</v>
      </c>
    </row>
    <row r="22" spans="1:28" ht="24.95" customHeight="1">
      <c r="C22" s="645"/>
      <c r="D22" s="406"/>
      <c r="E22" s="681" t="s">
        <v>111</v>
      </c>
      <c r="F22" s="681"/>
      <c r="G22" s="681"/>
      <c r="H22" s="681"/>
      <c r="I22" s="681"/>
      <c r="J22" s="681"/>
      <c r="K22" s="681"/>
      <c r="L22" s="681"/>
      <c r="M22" s="681"/>
      <c r="N22" s="681"/>
      <c r="O22" s="681"/>
      <c r="P22" s="681"/>
      <c r="Q22" s="447"/>
      <c r="S22" s="432">
        <f t="shared" si="9"/>
        <v>250000</v>
      </c>
      <c r="T22" s="440">
        <f t="shared" si="1"/>
        <v>27777.777777777774</v>
      </c>
      <c r="U22" s="434">
        <f t="shared" si="2"/>
        <v>208330</v>
      </c>
      <c r="V22" s="435">
        <f t="shared" si="3"/>
        <v>41670</v>
      </c>
      <c r="W22" s="436">
        <f t="shared" si="4"/>
        <v>0</v>
      </c>
      <c r="X22" s="436">
        <f t="shared" si="5"/>
        <v>0</v>
      </c>
      <c r="Y22" s="437">
        <f t="shared" si="6"/>
        <v>0</v>
      </c>
      <c r="Z22" s="438">
        <f t="shared" si="0"/>
        <v>250000</v>
      </c>
      <c r="AA22" s="427" t="b">
        <f>Z22=S22</f>
        <v>1</v>
      </c>
      <c r="AB22" s="428">
        <f t="shared" si="8"/>
        <v>27777.333333333328</v>
      </c>
    </row>
    <row r="23" spans="1:28" ht="24.95" customHeight="1">
      <c r="C23" s="645"/>
      <c r="D23" s="406"/>
      <c r="E23" s="682" t="s">
        <v>90</v>
      </c>
      <c r="F23" s="682"/>
      <c r="G23" s="682"/>
      <c r="H23" s="682"/>
      <c r="I23" s="682"/>
      <c r="J23" s="682"/>
      <c r="K23" s="682"/>
      <c r="L23" s="682"/>
      <c r="M23" s="682"/>
      <c r="N23" s="682"/>
      <c r="O23" s="682"/>
      <c r="P23" s="682"/>
      <c r="Q23" s="448"/>
      <c r="S23" s="432">
        <f t="shared" si="9"/>
        <v>260000</v>
      </c>
      <c r="T23" s="440">
        <f t="shared" si="1"/>
        <v>28888.888888888883</v>
      </c>
      <c r="U23" s="434">
        <f t="shared" si="2"/>
        <v>216670</v>
      </c>
      <c r="V23" s="435">
        <f t="shared" si="3"/>
        <v>43330</v>
      </c>
      <c r="W23" s="436">
        <f t="shared" si="4"/>
        <v>0</v>
      </c>
      <c r="X23" s="436">
        <f t="shared" si="5"/>
        <v>0</v>
      </c>
      <c r="Y23" s="437">
        <f t="shared" si="6"/>
        <v>0</v>
      </c>
      <c r="Z23" s="438">
        <f t="shared" si="0"/>
        <v>260000</v>
      </c>
      <c r="AA23" s="427" t="b">
        <f>Z23=S23</f>
        <v>1</v>
      </c>
      <c r="AB23" s="428">
        <f t="shared" si="8"/>
        <v>28889.333333333325</v>
      </c>
    </row>
    <row r="24" spans="1:28" ht="24.95" customHeight="1" thickBot="1">
      <c r="C24" s="645"/>
      <c r="D24" s="406"/>
      <c r="E24" s="683" t="s">
        <v>212</v>
      </c>
      <c r="F24" s="683"/>
      <c r="G24" s="683"/>
      <c r="H24" s="683"/>
      <c r="I24" s="683"/>
      <c r="J24" s="683"/>
      <c r="K24" s="683"/>
      <c r="L24" s="683"/>
      <c r="M24" s="683"/>
      <c r="N24" s="683"/>
      <c r="O24" s="683"/>
      <c r="P24" s="683"/>
      <c r="Q24" s="448"/>
      <c r="S24" s="449">
        <f t="shared" si="9"/>
        <v>270000</v>
      </c>
      <c r="T24" s="450">
        <f t="shared" si="1"/>
        <v>29999.999999999993</v>
      </c>
      <c r="U24" s="451">
        <f t="shared" si="2"/>
        <v>225000</v>
      </c>
      <c r="V24" s="452">
        <f t="shared" si="3"/>
        <v>45000</v>
      </c>
      <c r="W24" s="453">
        <f t="shared" si="4"/>
        <v>0</v>
      </c>
      <c r="X24" s="453">
        <f t="shared" si="5"/>
        <v>0</v>
      </c>
      <c r="Y24" s="454">
        <f t="shared" si="6"/>
        <v>0</v>
      </c>
      <c r="Z24" s="455">
        <f t="shared" si="0"/>
        <v>270000</v>
      </c>
      <c r="AA24" s="427" t="b">
        <f>Z24=S24</f>
        <v>1</v>
      </c>
      <c r="AB24" s="428">
        <f t="shared" si="8"/>
        <v>29999.999999999993</v>
      </c>
    </row>
    <row r="25" spans="1:28" ht="24.95" customHeight="1">
      <c r="C25" s="645"/>
      <c r="D25" s="406"/>
      <c r="E25" s="683" t="s">
        <v>217</v>
      </c>
      <c r="F25" s="683"/>
      <c r="G25" s="683"/>
      <c r="H25" s="683"/>
      <c r="I25" s="683"/>
      <c r="J25" s="683"/>
      <c r="K25" s="683"/>
      <c r="L25" s="683"/>
      <c r="M25" s="683"/>
      <c r="N25" s="683"/>
      <c r="O25" s="683"/>
      <c r="P25" s="683"/>
      <c r="Q25" s="448"/>
      <c r="S25" s="448"/>
      <c r="U25" s="373"/>
      <c r="V25" s="373"/>
      <c r="W25" s="373"/>
      <c r="X25" s="373"/>
    </row>
    <row r="26" spans="1:28" ht="24.95" customHeight="1">
      <c r="C26" s="654"/>
      <c r="D26" s="429"/>
      <c r="E26" s="684" t="s">
        <v>206</v>
      </c>
      <c r="F26" s="684"/>
      <c r="G26" s="684"/>
      <c r="H26" s="684"/>
      <c r="I26" s="684"/>
      <c r="J26" s="685" t="s">
        <v>179</v>
      </c>
      <c r="K26" s="685"/>
      <c r="L26" s="685"/>
      <c r="M26" s="685"/>
      <c r="N26" s="685"/>
      <c r="O26" s="685"/>
      <c r="P26" s="685"/>
      <c r="Q26" s="448"/>
    </row>
    <row r="27" spans="1:28" ht="24.95" customHeight="1">
      <c r="C27" s="657" t="s">
        <v>71</v>
      </c>
      <c r="D27" s="456"/>
      <c r="E27" s="700" t="s">
        <v>227</v>
      </c>
      <c r="F27" s="700"/>
      <c r="G27" s="700"/>
      <c r="H27" s="457"/>
      <c r="I27" s="701" t="s">
        <v>228</v>
      </c>
      <c r="J27" s="701"/>
      <c r="K27" s="702"/>
      <c r="L27" s="702"/>
      <c r="M27" s="700" t="s">
        <v>229</v>
      </c>
      <c r="N27" s="700"/>
      <c r="O27" s="458"/>
      <c r="P27" s="459"/>
      <c r="Q27" s="448"/>
      <c r="S27" s="448"/>
    </row>
    <row r="28" spans="1:28" ht="24.95" customHeight="1">
      <c r="C28" s="645"/>
      <c r="D28" s="406"/>
      <c r="E28" s="670" t="s">
        <v>230</v>
      </c>
      <c r="F28" s="670"/>
      <c r="G28" s="670"/>
      <c r="H28" s="670"/>
      <c r="I28" s="670"/>
      <c r="J28" s="670"/>
      <c r="K28" s="670"/>
      <c r="L28" s="670"/>
      <c r="M28" s="670"/>
      <c r="N28" s="670"/>
      <c r="O28" s="670"/>
      <c r="P28" s="670"/>
      <c r="Q28" s="448"/>
      <c r="S28" s="460"/>
    </row>
    <row r="29" spans="1:28" ht="24.95" customHeight="1" thickBot="1">
      <c r="C29" s="645"/>
      <c r="D29" s="406"/>
      <c r="E29" s="703" t="s">
        <v>238</v>
      </c>
      <c r="F29" s="703"/>
      <c r="G29" s="703"/>
      <c r="H29" s="703"/>
      <c r="I29" s="703"/>
      <c r="J29" s="703"/>
      <c r="K29" s="703"/>
      <c r="L29" s="703"/>
      <c r="M29" s="461"/>
      <c r="N29" s="704" t="s">
        <v>91</v>
      </c>
      <c r="O29" s="704"/>
      <c r="P29" s="462">
        <f>VLOOKUP(E33,$S$10:$Z$24,2,)</f>
        <v>15555.555555555553</v>
      </c>
      <c r="Q29" s="398"/>
      <c r="R29" s="463"/>
      <c r="S29" s="398"/>
    </row>
    <row r="30" spans="1:28" ht="28.5" customHeight="1">
      <c r="C30" s="645"/>
      <c r="D30" s="406"/>
      <c r="E30" s="705" t="s">
        <v>79</v>
      </c>
      <c r="F30" s="706"/>
      <c r="G30" s="665" t="s">
        <v>231</v>
      </c>
      <c r="H30" s="666"/>
      <c r="I30" s="666"/>
      <c r="J30" s="666"/>
      <c r="K30" s="666"/>
      <c r="L30" s="666"/>
      <c r="M30" s="666"/>
      <c r="N30" s="666"/>
      <c r="O30" s="666"/>
      <c r="P30" s="667"/>
      <c r="Q30" s="439"/>
      <c r="S30" s="439"/>
    </row>
    <row r="31" spans="1:28" ht="26.1" customHeight="1">
      <c r="C31" s="645"/>
      <c r="D31" s="406"/>
      <c r="E31" s="686" t="s">
        <v>232</v>
      </c>
      <c r="F31" s="687"/>
      <c r="G31" s="690" t="s">
        <v>233</v>
      </c>
      <c r="H31" s="691"/>
      <c r="I31" s="691"/>
      <c r="J31" s="692"/>
      <c r="K31" s="690" t="s">
        <v>234</v>
      </c>
      <c r="L31" s="691"/>
      <c r="M31" s="691"/>
      <c r="N31" s="693"/>
      <c r="O31" s="694"/>
      <c r="P31" s="695"/>
      <c r="Q31" s="439"/>
      <c r="S31" s="439"/>
    </row>
    <row r="32" spans="1:28" s="375" customFormat="1" ht="26.1" customHeight="1" thickBot="1">
      <c r="A32" s="373"/>
      <c r="B32" s="373"/>
      <c r="C32" s="645"/>
      <c r="D32" s="406"/>
      <c r="E32" s="688"/>
      <c r="F32" s="689"/>
      <c r="G32" s="696" t="s">
        <v>235</v>
      </c>
      <c r="H32" s="697"/>
      <c r="I32" s="697"/>
      <c r="J32" s="697"/>
      <c r="K32" s="696" t="s">
        <v>236</v>
      </c>
      <c r="L32" s="697"/>
      <c r="M32" s="697"/>
      <c r="N32" s="697"/>
      <c r="O32" s="696"/>
      <c r="P32" s="698"/>
      <c r="Q32" s="442"/>
      <c r="R32" s="373"/>
      <c r="S32" s="442"/>
      <c r="T32" s="373"/>
      <c r="Y32" s="373"/>
      <c r="Z32" s="373"/>
      <c r="AA32" s="373"/>
      <c r="AB32" s="373"/>
    </row>
    <row r="33" spans="1:28" s="375" customFormat="1" ht="42" customHeight="1" thickBot="1">
      <c r="A33" s="373"/>
      <c r="B33" s="373"/>
      <c r="C33" s="645"/>
      <c r="D33" s="406"/>
      <c r="E33" s="672">
        <v>140000</v>
      </c>
      <c r="F33" s="673"/>
      <c r="G33" s="674">
        <f>VLOOKUP($E$33,$S$10:Z24,3,)</f>
        <v>116670</v>
      </c>
      <c r="H33" s="675"/>
      <c r="I33" s="675"/>
      <c r="J33" s="675"/>
      <c r="K33" s="676">
        <f>VLOOKUP(E33,$S$10:$Z$24,4,)</f>
        <v>23330</v>
      </c>
      <c r="L33" s="677"/>
      <c r="M33" s="677"/>
      <c r="N33" s="677"/>
      <c r="O33" s="678"/>
      <c r="P33" s="679"/>
      <c r="Q33" s="442"/>
      <c r="R33" s="373"/>
      <c r="S33" s="442"/>
      <c r="T33" s="373"/>
      <c r="Y33" s="373"/>
      <c r="Z33" s="373"/>
      <c r="AA33" s="373"/>
      <c r="AB33" s="373"/>
    </row>
    <row r="34" spans="1:28" s="375" customFormat="1" ht="24.95" customHeight="1">
      <c r="A34" s="373"/>
      <c r="B34" s="373"/>
      <c r="C34" s="645"/>
      <c r="D34" s="406"/>
      <c r="E34" s="655" t="s">
        <v>208</v>
      </c>
      <c r="F34" s="655"/>
      <c r="G34" s="655"/>
      <c r="H34" s="655"/>
      <c r="I34" s="655"/>
      <c r="J34" s="655"/>
      <c r="K34" s="655"/>
      <c r="L34" s="655"/>
      <c r="M34" s="655"/>
      <c r="N34" s="655"/>
      <c r="O34" s="655"/>
      <c r="P34" s="655"/>
      <c r="Q34" s="442"/>
      <c r="R34" s="373"/>
      <c r="S34" s="442"/>
      <c r="T34" s="373"/>
      <c r="Y34" s="373"/>
      <c r="Z34" s="373"/>
      <c r="AA34" s="373"/>
      <c r="AB34" s="373"/>
    </row>
    <row r="35" spans="1:28" s="375" customFormat="1" ht="24.95" customHeight="1">
      <c r="A35" s="373"/>
      <c r="B35" s="373"/>
      <c r="C35" s="645"/>
      <c r="D35" s="406"/>
      <c r="E35" s="655" t="s">
        <v>237</v>
      </c>
      <c r="F35" s="655"/>
      <c r="G35" s="655"/>
      <c r="H35" s="655"/>
      <c r="I35" s="655"/>
      <c r="J35" s="655"/>
      <c r="K35" s="655"/>
      <c r="L35" s="655"/>
      <c r="M35" s="655"/>
      <c r="N35" s="655"/>
      <c r="O35" s="655"/>
      <c r="P35" s="655"/>
      <c r="Q35" s="398"/>
      <c r="R35" s="373"/>
      <c r="S35" s="398"/>
      <c r="T35" s="373"/>
      <c r="Y35" s="373"/>
      <c r="Z35" s="373"/>
      <c r="AA35" s="373"/>
      <c r="AB35" s="373"/>
    </row>
    <row r="36" spans="1:28" s="375" customFormat="1" ht="24.95" customHeight="1">
      <c r="A36" s="373"/>
      <c r="B36" s="373"/>
      <c r="C36" s="645"/>
      <c r="D36" s="406"/>
      <c r="E36" s="548" t="s">
        <v>239</v>
      </c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398"/>
      <c r="R36" s="373"/>
      <c r="S36" s="398"/>
      <c r="T36" s="373"/>
      <c r="Y36" s="373"/>
      <c r="Z36" s="373"/>
      <c r="AA36" s="373"/>
      <c r="AB36" s="373"/>
    </row>
    <row r="37" spans="1:28" s="375" customFormat="1" ht="24.95" customHeight="1">
      <c r="A37" s="373"/>
      <c r="B37" s="373"/>
      <c r="C37" s="645"/>
      <c r="D37" s="406"/>
      <c r="E37" s="548" t="s">
        <v>204</v>
      </c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398"/>
      <c r="R37" s="373"/>
      <c r="S37" s="398"/>
      <c r="T37" s="373"/>
      <c r="Y37" s="373"/>
      <c r="Z37" s="373"/>
      <c r="AA37" s="373"/>
      <c r="AB37" s="373"/>
    </row>
    <row r="38" spans="1:28" s="375" customFormat="1" ht="24.95" customHeight="1">
      <c r="A38" s="373"/>
      <c r="B38" s="373"/>
      <c r="C38" s="645"/>
      <c r="D38" s="406"/>
      <c r="E38" s="561" t="s">
        <v>216</v>
      </c>
      <c r="F38" s="561"/>
      <c r="G38" s="561"/>
      <c r="H38" s="561"/>
      <c r="I38" s="561"/>
      <c r="J38" s="561"/>
      <c r="K38" s="561"/>
      <c r="L38" s="561"/>
      <c r="M38" s="561"/>
      <c r="N38" s="561"/>
      <c r="O38" s="561"/>
      <c r="P38" s="561"/>
      <c r="Q38" s="398"/>
      <c r="R38" s="373"/>
      <c r="S38" s="398"/>
      <c r="T38" s="373"/>
      <c r="Y38" s="373"/>
      <c r="Z38" s="373"/>
      <c r="AA38" s="373"/>
      <c r="AB38" s="373"/>
    </row>
    <row r="39" spans="1:28" s="375" customFormat="1" ht="24.95" customHeight="1">
      <c r="A39" s="373"/>
      <c r="B39" s="373"/>
      <c r="C39" s="699"/>
      <c r="D39" s="464"/>
      <c r="E39" s="465" t="s">
        <v>106</v>
      </c>
      <c r="F39" s="465"/>
      <c r="G39" s="466"/>
      <c r="H39" s="466"/>
      <c r="I39" s="466"/>
      <c r="J39" s="466"/>
      <c r="K39" s="466"/>
      <c r="L39" s="466"/>
      <c r="M39" s="466"/>
      <c r="N39" s="466"/>
      <c r="O39" s="466"/>
      <c r="P39" s="466"/>
      <c r="Q39" s="398"/>
      <c r="R39" s="373"/>
      <c r="S39" s="398"/>
      <c r="T39" s="373"/>
      <c r="Y39" s="373"/>
      <c r="Z39" s="373"/>
      <c r="AA39" s="373"/>
      <c r="AB39" s="373"/>
    </row>
    <row r="40" spans="1:28" s="375" customFormat="1" ht="24" customHeight="1">
      <c r="A40" s="373"/>
      <c r="B40" s="373"/>
      <c r="C40" s="668" t="s">
        <v>72</v>
      </c>
      <c r="D40" s="467"/>
      <c r="E40" s="669" t="s">
        <v>109</v>
      </c>
      <c r="F40" s="669"/>
      <c r="G40" s="669"/>
      <c r="H40" s="669"/>
      <c r="I40" s="669"/>
      <c r="J40" s="669"/>
      <c r="K40" s="669"/>
      <c r="L40" s="669"/>
      <c r="M40" s="669"/>
      <c r="N40" s="669"/>
      <c r="O40" s="669"/>
      <c r="P40" s="669"/>
      <c r="Q40" s="398"/>
      <c r="R40" s="373"/>
      <c r="T40" s="373"/>
      <c r="Y40" s="373"/>
      <c r="Z40" s="373"/>
      <c r="AA40" s="373"/>
      <c r="AB40" s="373"/>
    </row>
    <row r="41" spans="1:28" s="375" customFormat="1" ht="24" customHeight="1">
      <c r="A41" s="373"/>
      <c r="B41" s="373"/>
      <c r="C41" s="645"/>
      <c r="D41" s="406"/>
      <c r="E41" s="670" t="s">
        <v>193</v>
      </c>
      <c r="F41" s="670"/>
      <c r="G41" s="670"/>
      <c r="H41" s="670"/>
      <c r="I41" s="670"/>
      <c r="J41" s="670"/>
      <c r="K41" s="670"/>
      <c r="L41" s="670"/>
      <c r="M41" s="670"/>
      <c r="N41" s="670"/>
      <c r="O41" s="670"/>
      <c r="P41" s="670"/>
      <c r="Q41" s="398"/>
      <c r="R41" s="373"/>
      <c r="T41" s="373"/>
      <c r="Y41" s="373"/>
      <c r="Z41" s="373"/>
      <c r="AA41" s="373"/>
      <c r="AB41" s="373"/>
    </row>
    <row r="42" spans="1:28" s="375" customFormat="1" ht="24" customHeight="1">
      <c r="A42" s="373"/>
      <c r="B42" s="373"/>
      <c r="C42" s="645"/>
      <c r="D42" s="406"/>
      <c r="E42" s="655" t="s">
        <v>85</v>
      </c>
      <c r="F42" s="655"/>
      <c r="G42" s="655"/>
      <c r="H42" s="655"/>
      <c r="I42" s="655"/>
      <c r="J42" s="655"/>
      <c r="K42" s="655"/>
      <c r="L42" s="655"/>
      <c r="M42" s="655"/>
      <c r="N42" s="655"/>
      <c r="O42" s="655"/>
      <c r="P42" s="655"/>
      <c r="Q42" s="398"/>
      <c r="R42" s="373"/>
      <c r="T42" s="373"/>
      <c r="Y42" s="373"/>
      <c r="Z42" s="373"/>
      <c r="AA42" s="373"/>
      <c r="AB42" s="373"/>
    </row>
    <row r="43" spans="1:28" s="375" customFormat="1" ht="24" customHeight="1">
      <c r="A43" s="373"/>
      <c r="B43" s="373"/>
      <c r="C43" s="661"/>
      <c r="D43" s="468"/>
      <c r="E43" s="671" t="s">
        <v>74</v>
      </c>
      <c r="F43" s="671"/>
      <c r="G43" s="671"/>
      <c r="H43" s="671"/>
      <c r="I43" s="671"/>
      <c r="J43" s="671"/>
      <c r="K43" s="671"/>
      <c r="L43" s="671"/>
      <c r="M43" s="671"/>
      <c r="N43" s="671"/>
      <c r="O43" s="671"/>
      <c r="P43" s="671"/>
      <c r="Q43" s="398"/>
      <c r="R43" s="373"/>
      <c r="T43" s="373"/>
      <c r="Y43" s="373"/>
      <c r="Z43" s="373"/>
      <c r="AA43" s="373"/>
      <c r="AB43" s="373"/>
    </row>
    <row r="44" spans="1:28" ht="24" customHeight="1">
      <c r="C44" s="660" t="s">
        <v>114</v>
      </c>
      <c r="D44" s="469"/>
      <c r="E44" s="470" t="s">
        <v>112</v>
      </c>
      <c r="F44" s="470"/>
      <c r="G44" s="470"/>
      <c r="H44" s="470"/>
      <c r="I44" s="470"/>
      <c r="J44" s="470"/>
      <c r="K44" s="470"/>
      <c r="L44" s="470"/>
      <c r="M44" s="470"/>
      <c r="N44" s="470"/>
      <c r="O44" s="470"/>
      <c r="P44" s="470"/>
      <c r="Q44" s="471"/>
      <c r="S44" s="472"/>
    </row>
    <row r="45" spans="1:28" ht="24" customHeight="1">
      <c r="C45" s="645"/>
      <c r="E45" s="662" t="s">
        <v>117</v>
      </c>
      <c r="F45" s="662"/>
      <c r="G45" s="662"/>
      <c r="H45" s="662"/>
      <c r="I45" s="662"/>
      <c r="J45" s="662"/>
      <c r="K45" s="662"/>
      <c r="L45" s="662"/>
      <c r="M45" s="662"/>
      <c r="N45" s="662"/>
      <c r="O45" s="662"/>
      <c r="P45" s="662"/>
      <c r="Q45" s="398"/>
      <c r="S45" s="473"/>
    </row>
    <row r="46" spans="1:28" ht="24" customHeight="1">
      <c r="C46" s="645"/>
      <c r="E46" s="662" t="s">
        <v>115</v>
      </c>
      <c r="F46" s="662"/>
      <c r="G46" s="662"/>
      <c r="H46" s="662"/>
      <c r="I46" s="662"/>
      <c r="J46" s="662"/>
      <c r="K46" s="662"/>
      <c r="L46" s="662"/>
      <c r="M46" s="662"/>
      <c r="N46" s="662"/>
      <c r="O46" s="662"/>
      <c r="P46" s="662"/>
      <c r="Q46" s="398"/>
    </row>
    <row r="47" spans="1:28" ht="24" customHeight="1">
      <c r="C47" s="661"/>
      <c r="D47" s="474"/>
      <c r="E47" s="663" t="s">
        <v>116</v>
      </c>
      <c r="F47" s="663"/>
      <c r="G47" s="663"/>
      <c r="H47" s="663"/>
      <c r="I47" s="663"/>
      <c r="J47" s="663"/>
      <c r="K47" s="663"/>
      <c r="L47" s="663"/>
      <c r="M47" s="663"/>
      <c r="N47" s="663"/>
      <c r="O47" s="663"/>
      <c r="P47" s="663"/>
      <c r="Q47" s="398"/>
    </row>
    <row r="48" spans="1:28" ht="24" customHeight="1">
      <c r="C48" s="645" t="s">
        <v>113</v>
      </c>
      <c r="E48" s="594" t="s">
        <v>118</v>
      </c>
      <c r="F48" s="594"/>
      <c r="G48" s="594"/>
      <c r="H48" s="594"/>
      <c r="I48" s="594"/>
      <c r="J48" s="594"/>
      <c r="K48" s="594"/>
      <c r="L48" s="594"/>
      <c r="M48" s="594"/>
      <c r="N48" s="594"/>
      <c r="O48" s="594"/>
      <c r="P48" s="594"/>
      <c r="Q48" s="398"/>
      <c r="S48" s="472"/>
    </row>
    <row r="49" spans="3:17" ht="24" customHeight="1">
      <c r="C49" s="645"/>
      <c r="E49" s="595" t="s">
        <v>107</v>
      </c>
      <c r="F49" s="595"/>
      <c r="G49" s="595"/>
      <c r="H49" s="595"/>
      <c r="I49" s="595"/>
      <c r="J49" s="595"/>
      <c r="K49" s="595"/>
      <c r="L49" s="595"/>
      <c r="M49" s="595"/>
      <c r="N49" s="595"/>
      <c r="O49" s="595"/>
      <c r="P49" s="595"/>
      <c r="Q49" s="398"/>
    </row>
    <row r="50" spans="3:17" ht="24" customHeight="1">
      <c r="C50" s="645"/>
      <c r="E50" s="595" t="s">
        <v>119</v>
      </c>
      <c r="F50" s="595"/>
      <c r="G50" s="595"/>
      <c r="H50" s="595"/>
      <c r="I50" s="595"/>
      <c r="J50" s="595"/>
      <c r="K50" s="595"/>
      <c r="L50" s="595"/>
      <c r="M50" s="595"/>
      <c r="N50" s="595"/>
      <c r="O50" s="595"/>
      <c r="P50" s="595"/>
      <c r="Q50" s="398"/>
    </row>
    <row r="51" spans="3:17" ht="24" customHeight="1">
      <c r="C51" s="645"/>
      <c r="E51" s="594" t="s">
        <v>120</v>
      </c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398"/>
    </row>
    <row r="52" spans="3:17" ht="24" customHeight="1">
      <c r="C52" s="654"/>
      <c r="D52" s="429"/>
      <c r="E52" s="664" t="s">
        <v>108</v>
      </c>
      <c r="F52" s="664"/>
      <c r="G52" s="664"/>
      <c r="H52" s="664"/>
      <c r="I52" s="664"/>
      <c r="J52" s="664"/>
      <c r="K52" s="664"/>
      <c r="L52" s="664"/>
      <c r="M52" s="664"/>
      <c r="N52" s="664"/>
      <c r="O52" s="664"/>
      <c r="P52" s="664"/>
      <c r="Q52" s="398"/>
    </row>
    <row r="53" spans="3:17" ht="24" customHeight="1">
      <c r="C53" s="657" t="s">
        <v>121</v>
      </c>
      <c r="D53" s="412"/>
      <c r="E53" s="658" t="s">
        <v>110</v>
      </c>
      <c r="F53" s="658"/>
      <c r="G53" s="658"/>
      <c r="H53" s="658"/>
      <c r="I53" s="658"/>
      <c r="J53" s="658"/>
      <c r="K53" s="658"/>
      <c r="L53" s="658"/>
      <c r="M53" s="658"/>
      <c r="N53" s="658"/>
      <c r="O53" s="658"/>
      <c r="P53" s="658"/>
      <c r="Q53" s="398"/>
    </row>
    <row r="54" spans="3:17" ht="24" customHeight="1">
      <c r="C54" s="645"/>
      <c r="D54" s="406"/>
      <c r="E54" s="659" t="s">
        <v>69</v>
      </c>
      <c r="F54" s="659"/>
      <c r="G54" s="659"/>
      <c r="H54" s="659"/>
      <c r="I54" s="659"/>
      <c r="J54" s="659"/>
      <c r="K54" s="659"/>
      <c r="L54" s="659"/>
      <c r="M54" s="659"/>
      <c r="N54" s="659"/>
      <c r="O54" s="659"/>
      <c r="P54" s="659"/>
      <c r="Q54" s="398"/>
    </row>
    <row r="55" spans="3:17" ht="24" customHeight="1">
      <c r="C55" s="645"/>
      <c r="D55" s="406"/>
      <c r="E55" s="647" t="s">
        <v>70</v>
      </c>
      <c r="F55" s="647"/>
      <c r="G55" s="647"/>
      <c r="H55" s="647"/>
      <c r="I55" s="647"/>
      <c r="J55" s="647"/>
      <c r="K55" s="647"/>
      <c r="L55" s="647"/>
      <c r="M55" s="647"/>
      <c r="N55" s="647"/>
      <c r="O55" s="647"/>
      <c r="P55" s="647"/>
      <c r="Q55" s="398"/>
    </row>
    <row r="56" spans="3:17" ht="24" customHeight="1">
      <c r="C56" s="645"/>
      <c r="D56" s="406"/>
      <c r="E56" s="655" t="s">
        <v>96</v>
      </c>
      <c r="F56" s="655"/>
      <c r="G56" s="655"/>
      <c r="H56" s="655"/>
      <c r="I56" s="655"/>
      <c r="J56" s="655"/>
      <c r="K56" s="655"/>
      <c r="L56" s="655"/>
      <c r="M56" s="655"/>
      <c r="N56" s="655"/>
      <c r="O56" s="655"/>
      <c r="P56" s="655"/>
      <c r="Q56" s="398"/>
    </row>
    <row r="57" spans="3:17" ht="24" customHeight="1">
      <c r="C57" s="645"/>
      <c r="D57" s="406"/>
      <c r="E57" s="655" t="s">
        <v>97</v>
      </c>
      <c r="F57" s="655"/>
      <c r="G57" s="655"/>
      <c r="H57" s="655"/>
      <c r="I57" s="655"/>
      <c r="J57" s="655"/>
      <c r="K57" s="655"/>
      <c r="L57" s="655"/>
      <c r="M57" s="655"/>
      <c r="N57" s="655"/>
      <c r="O57" s="655"/>
      <c r="P57" s="655"/>
      <c r="Q57" s="439"/>
    </row>
    <row r="58" spans="3:17" ht="24" customHeight="1">
      <c r="C58" s="645"/>
      <c r="D58" s="406"/>
      <c r="E58" s="655" t="s">
        <v>98</v>
      </c>
      <c r="F58" s="655"/>
      <c r="G58" s="655"/>
      <c r="H58" s="655"/>
      <c r="I58" s="655"/>
      <c r="J58" s="655"/>
      <c r="K58" s="655"/>
      <c r="L58" s="655"/>
      <c r="M58" s="655"/>
      <c r="N58" s="655"/>
      <c r="O58" s="655"/>
      <c r="P58" s="655"/>
      <c r="Q58" s="442"/>
    </row>
    <row r="59" spans="3:17" ht="24" customHeight="1">
      <c r="C59" s="645"/>
      <c r="D59" s="406"/>
      <c r="E59" s="652" t="s">
        <v>99</v>
      </c>
      <c r="F59" s="652"/>
      <c r="G59" s="652"/>
      <c r="H59" s="652"/>
      <c r="I59" s="652"/>
      <c r="J59" s="652"/>
      <c r="K59" s="652"/>
      <c r="L59" s="652"/>
      <c r="M59" s="652"/>
      <c r="N59" s="652"/>
      <c r="O59" s="652"/>
      <c r="P59" s="652"/>
      <c r="Q59" s="442"/>
    </row>
    <row r="60" spans="3:17" ht="24" customHeight="1">
      <c r="C60" s="645"/>
      <c r="D60" s="406"/>
      <c r="E60" s="652" t="s">
        <v>100</v>
      </c>
      <c r="F60" s="652"/>
      <c r="G60" s="652"/>
      <c r="H60" s="652"/>
      <c r="I60" s="652"/>
      <c r="J60" s="652"/>
      <c r="K60" s="652"/>
      <c r="L60" s="652"/>
      <c r="M60" s="652"/>
      <c r="N60" s="652"/>
      <c r="O60" s="652"/>
      <c r="P60" s="652"/>
      <c r="Q60" s="442"/>
    </row>
    <row r="61" spans="3:17" ht="24" customHeight="1">
      <c r="C61" s="645"/>
      <c r="D61" s="406"/>
      <c r="E61" s="652" t="s">
        <v>101</v>
      </c>
      <c r="F61" s="652"/>
      <c r="G61" s="652"/>
      <c r="H61" s="652"/>
      <c r="I61" s="652"/>
      <c r="J61" s="652"/>
      <c r="K61" s="652"/>
      <c r="L61" s="652"/>
      <c r="M61" s="652"/>
      <c r="N61" s="652"/>
      <c r="O61" s="652"/>
      <c r="P61" s="652"/>
      <c r="Q61" s="398"/>
    </row>
    <row r="62" spans="3:17" ht="24" customHeight="1">
      <c r="C62" s="645"/>
      <c r="D62" s="406"/>
      <c r="E62" s="652" t="s">
        <v>102</v>
      </c>
      <c r="F62" s="652"/>
      <c r="G62" s="652"/>
      <c r="H62" s="652"/>
      <c r="I62" s="652"/>
      <c r="J62" s="652"/>
      <c r="K62" s="652"/>
      <c r="L62" s="652"/>
      <c r="M62" s="652"/>
      <c r="N62" s="652"/>
      <c r="O62" s="652"/>
      <c r="P62" s="652"/>
      <c r="Q62" s="439"/>
    </row>
    <row r="63" spans="3:17" ht="24" customHeight="1">
      <c r="C63" s="645"/>
      <c r="D63" s="406"/>
      <c r="E63" s="652" t="s">
        <v>103</v>
      </c>
      <c r="F63" s="652"/>
      <c r="G63" s="652"/>
      <c r="H63" s="652"/>
      <c r="I63" s="652"/>
      <c r="J63" s="652"/>
      <c r="K63" s="652"/>
      <c r="L63" s="652"/>
      <c r="M63" s="652"/>
      <c r="N63" s="652"/>
      <c r="O63" s="652"/>
      <c r="P63" s="652"/>
      <c r="Q63" s="442"/>
    </row>
    <row r="64" spans="3:17" ht="24" customHeight="1">
      <c r="C64" s="645"/>
      <c r="D64" s="406"/>
      <c r="E64" s="652" t="s">
        <v>104</v>
      </c>
      <c r="F64" s="652"/>
      <c r="G64" s="652"/>
      <c r="H64" s="652"/>
      <c r="I64" s="652"/>
      <c r="J64" s="652"/>
      <c r="K64" s="652"/>
      <c r="L64" s="652"/>
      <c r="M64" s="652"/>
      <c r="N64" s="652"/>
      <c r="O64" s="652"/>
      <c r="P64" s="652"/>
      <c r="Q64" s="442"/>
    </row>
    <row r="65" spans="1:30" ht="24" customHeight="1">
      <c r="C65" s="654"/>
      <c r="D65" s="429"/>
      <c r="E65" s="653" t="s">
        <v>105</v>
      </c>
      <c r="F65" s="653"/>
      <c r="G65" s="653"/>
      <c r="H65" s="653"/>
      <c r="I65" s="653"/>
      <c r="J65" s="653"/>
      <c r="K65" s="653"/>
      <c r="L65" s="653"/>
      <c r="M65" s="653"/>
      <c r="N65" s="653"/>
      <c r="O65" s="653"/>
      <c r="P65" s="653"/>
      <c r="Q65" s="442"/>
    </row>
    <row r="66" spans="1:30" s="375" customFormat="1" ht="24" customHeight="1">
      <c r="A66" s="373"/>
      <c r="B66" s="373"/>
      <c r="C66" s="645" t="s">
        <v>122</v>
      </c>
      <c r="D66" s="406"/>
      <c r="E66" s="647" t="s">
        <v>63</v>
      </c>
      <c r="F66" s="647"/>
      <c r="G66" s="647"/>
      <c r="H66" s="647"/>
      <c r="I66" s="647"/>
      <c r="J66" s="647"/>
      <c r="K66" s="647"/>
      <c r="L66" s="647"/>
      <c r="M66" s="647"/>
      <c r="N66" s="647"/>
      <c r="O66" s="647"/>
      <c r="P66" s="647"/>
      <c r="Q66" s="442"/>
      <c r="R66" s="373"/>
      <c r="T66" s="373"/>
      <c r="Y66" s="373"/>
      <c r="Z66" s="373"/>
      <c r="AA66" s="373"/>
      <c r="AB66" s="373"/>
      <c r="AC66" s="373"/>
      <c r="AD66" s="373"/>
    </row>
    <row r="67" spans="1:30" s="375" customFormat="1" ht="24" customHeight="1">
      <c r="A67" s="373"/>
      <c r="B67" s="373"/>
      <c r="C67" s="645"/>
      <c r="D67" s="406"/>
      <c r="E67" s="655" t="s">
        <v>64</v>
      </c>
      <c r="F67" s="655"/>
      <c r="G67" s="655"/>
      <c r="H67" s="655"/>
      <c r="I67" s="655"/>
      <c r="J67" s="655"/>
      <c r="K67" s="655"/>
      <c r="L67" s="655"/>
      <c r="M67" s="655"/>
      <c r="N67" s="655"/>
      <c r="O67" s="655"/>
      <c r="P67" s="655"/>
      <c r="Q67" s="398"/>
      <c r="R67" s="373"/>
      <c r="T67" s="373"/>
      <c r="Y67" s="373"/>
      <c r="Z67" s="373"/>
      <c r="AA67" s="373"/>
      <c r="AB67" s="373"/>
      <c r="AC67" s="373"/>
      <c r="AD67" s="373"/>
    </row>
    <row r="68" spans="1:30" s="375" customFormat="1" ht="24" customHeight="1">
      <c r="A68" s="373"/>
      <c r="B68" s="373"/>
      <c r="C68" s="654"/>
      <c r="D68" s="429"/>
      <c r="E68" s="656" t="s">
        <v>65</v>
      </c>
      <c r="F68" s="656"/>
      <c r="G68" s="656"/>
      <c r="H68" s="656"/>
      <c r="I68" s="656"/>
      <c r="J68" s="656"/>
      <c r="K68" s="656"/>
      <c r="L68" s="656"/>
      <c r="M68" s="656"/>
      <c r="N68" s="656"/>
      <c r="O68" s="656"/>
      <c r="P68" s="656"/>
      <c r="Q68" s="398"/>
      <c r="R68" s="373"/>
      <c r="T68" s="373"/>
      <c r="Y68" s="373"/>
      <c r="Z68" s="373"/>
      <c r="AA68" s="373"/>
      <c r="AB68" s="373"/>
      <c r="AC68" s="373"/>
      <c r="AD68" s="373"/>
    </row>
    <row r="69" spans="1:30" s="375" customFormat="1" ht="24" customHeight="1">
      <c r="A69" s="373"/>
      <c r="B69" s="373"/>
      <c r="C69" s="645" t="s">
        <v>123</v>
      </c>
      <c r="D69" s="406"/>
      <c r="E69" s="647" t="s">
        <v>66</v>
      </c>
      <c r="F69" s="647"/>
      <c r="G69" s="647"/>
      <c r="H69" s="647"/>
      <c r="I69" s="647"/>
      <c r="J69" s="647"/>
      <c r="K69" s="647"/>
      <c r="L69" s="647"/>
      <c r="M69" s="647"/>
      <c r="N69" s="647"/>
      <c r="O69" s="647"/>
      <c r="P69" s="647"/>
      <c r="Q69" s="398"/>
      <c r="R69" s="373"/>
      <c r="T69" s="373"/>
      <c r="Y69" s="373"/>
      <c r="Z69" s="373"/>
      <c r="AA69" s="373"/>
      <c r="AB69" s="373"/>
      <c r="AC69" s="373"/>
      <c r="AD69" s="373"/>
    </row>
    <row r="70" spans="1:30" s="375" customFormat="1" ht="24" customHeight="1">
      <c r="A70" s="373"/>
      <c r="B70" s="373"/>
      <c r="C70" s="646"/>
      <c r="D70" s="475"/>
      <c r="E70" s="648" t="s">
        <v>67</v>
      </c>
      <c r="F70" s="648"/>
      <c r="G70" s="648"/>
      <c r="H70" s="648"/>
      <c r="I70" s="648"/>
      <c r="J70" s="648"/>
      <c r="K70" s="648"/>
      <c r="L70" s="648"/>
      <c r="M70" s="648"/>
      <c r="N70" s="648"/>
      <c r="O70" s="648"/>
      <c r="P70" s="648"/>
      <c r="Q70" s="398"/>
      <c r="R70" s="373"/>
      <c r="T70" s="373"/>
      <c r="Y70" s="373"/>
      <c r="Z70" s="373"/>
      <c r="AA70" s="373"/>
      <c r="AB70" s="373"/>
      <c r="AC70" s="373"/>
      <c r="AD70" s="373"/>
    </row>
    <row r="71" spans="1:30" s="375" customFormat="1" ht="25.5" customHeight="1">
      <c r="A71" s="373"/>
      <c r="B71" s="373"/>
      <c r="C71" s="374"/>
      <c r="D71" s="373"/>
      <c r="E71" s="373"/>
      <c r="F71" s="373"/>
      <c r="G71" s="373"/>
      <c r="H71" s="373"/>
      <c r="I71" s="373"/>
      <c r="J71" s="373"/>
      <c r="K71" s="373"/>
      <c r="L71" s="373"/>
      <c r="M71" s="373"/>
      <c r="N71" s="373"/>
      <c r="O71" s="373"/>
      <c r="P71" s="373"/>
      <c r="Q71" s="398"/>
      <c r="R71" s="373"/>
      <c r="T71" s="373"/>
      <c r="Y71" s="373"/>
      <c r="Z71" s="373"/>
      <c r="AA71" s="373"/>
      <c r="AB71" s="373"/>
      <c r="AC71" s="373"/>
      <c r="AD71" s="373"/>
    </row>
    <row r="72" spans="1:30" s="375" customFormat="1" ht="24.95" customHeight="1">
      <c r="A72" s="373"/>
      <c r="B72" s="373"/>
      <c r="C72" s="649" t="s">
        <v>183</v>
      </c>
      <c r="D72" s="650"/>
      <c r="E72" s="650"/>
      <c r="F72" s="650"/>
      <c r="G72" s="650"/>
      <c r="H72" s="650"/>
      <c r="I72" s="650"/>
      <c r="J72" s="650"/>
      <c r="K72" s="650"/>
      <c r="L72" s="650"/>
      <c r="M72" s="650"/>
      <c r="N72" s="650"/>
      <c r="O72" s="650"/>
      <c r="P72" s="650"/>
      <c r="Q72" s="398"/>
      <c r="R72" s="373"/>
      <c r="T72" s="373"/>
      <c r="Y72" s="373"/>
      <c r="Z72" s="373"/>
      <c r="AA72" s="373"/>
      <c r="AB72" s="373"/>
      <c r="AC72" s="373"/>
      <c r="AD72" s="373"/>
    </row>
    <row r="73" spans="1:30" s="375" customFormat="1" ht="21" customHeight="1">
      <c r="A73" s="373"/>
      <c r="B73" s="373"/>
      <c r="C73" s="651"/>
      <c r="D73" s="651"/>
      <c r="E73" s="651"/>
      <c r="F73" s="651"/>
      <c r="G73" s="651"/>
      <c r="H73" s="651"/>
      <c r="I73" s="651"/>
      <c r="J73" s="651"/>
      <c r="K73" s="651"/>
      <c r="L73" s="651"/>
      <c r="M73" s="651"/>
      <c r="N73" s="651"/>
      <c r="O73" s="651"/>
      <c r="P73" s="651"/>
      <c r="Q73" s="398"/>
      <c r="R73" s="373"/>
      <c r="T73" s="373"/>
      <c r="Y73" s="373"/>
      <c r="Z73" s="373"/>
      <c r="AA73" s="373"/>
      <c r="AB73" s="373"/>
      <c r="AC73" s="373"/>
      <c r="AD73" s="373"/>
    </row>
    <row r="74" spans="1:30" s="375" customFormat="1" ht="17.25" customHeight="1">
      <c r="A74" s="373"/>
      <c r="B74" s="373"/>
      <c r="C74" s="632" t="s">
        <v>68</v>
      </c>
      <c r="D74" s="632"/>
      <c r="E74" s="632"/>
      <c r="F74" s="632"/>
      <c r="G74" s="632"/>
      <c r="H74" s="632"/>
      <c r="I74" s="632"/>
      <c r="J74" s="632"/>
      <c r="K74" s="632"/>
      <c r="L74" s="632"/>
      <c r="M74" s="632"/>
      <c r="N74" s="632"/>
      <c r="O74" s="632"/>
      <c r="P74" s="632"/>
      <c r="Q74" s="398"/>
      <c r="R74" s="373"/>
      <c r="T74" s="373"/>
      <c r="Y74" s="373"/>
      <c r="Z74" s="373"/>
      <c r="AA74" s="373"/>
      <c r="AB74" s="373"/>
      <c r="AC74" s="373"/>
      <c r="AD74" s="373"/>
    </row>
    <row r="75" spans="1:30" s="375" customFormat="1" ht="20.25" customHeight="1">
      <c r="A75" s="373"/>
      <c r="B75" s="373"/>
      <c r="C75" s="374"/>
      <c r="D75" s="373"/>
      <c r="E75" s="373"/>
      <c r="F75" s="373"/>
      <c r="G75" s="373"/>
      <c r="H75" s="373"/>
      <c r="I75" s="373"/>
      <c r="J75" s="373"/>
      <c r="K75" s="373"/>
      <c r="L75" s="373"/>
      <c r="M75" s="373"/>
      <c r="N75" s="373"/>
      <c r="O75" s="373"/>
      <c r="P75" s="373"/>
      <c r="Q75" s="398"/>
      <c r="R75" s="373"/>
      <c r="T75" s="373"/>
      <c r="Y75" s="373"/>
      <c r="Z75" s="373"/>
      <c r="AA75" s="373"/>
      <c r="AB75" s="373"/>
      <c r="AC75" s="373"/>
      <c r="AD75" s="373"/>
    </row>
    <row r="76" spans="1:30" s="375" customFormat="1" ht="18.75" customHeight="1">
      <c r="A76" s="373"/>
      <c r="B76" s="373"/>
      <c r="C76" s="631" t="s">
        <v>88</v>
      </c>
      <c r="D76" s="632"/>
      <c r="E76" s="632"/>
      <c r="F76" s="632"/>
      <c r="G76" s="632"/>
      <c r="H76" s="632"/>
      <c r="I76" s="632"/>
      <c r="J76" s="632"/>
      <c r="K76" s="632"/>
      <c r="L76" s="632"/>
      <c r="M76" s="632"/>
      <c r="N76" s="632"/>
      <c r="O76" s="632"/>
      <c r="P76" s="632"/>
      <c r="Q76" s="398"/>
      <c r="R76" s="373"/>
      <c r="T76" s="373"/>
      <c r="Y76" s="373"/>
      <c r="Z76" s="373"/>
      <c r="AA76" s="373"/>
      <c r="AB76" s="373"/>
      <c r="AC76" s="373"/>
      <c r="AD76" s="373"/>
    </row>
    <row r="77" spans="1:30" s="375" customFormat="1" ht="20.25" customHeight="1">
      <c r="A77" s="373"/>
      <c r="B77" s="373"/>
      <c r="C77" s="374"/>
      <c r="D77" s="373"/>
      <c r="E77" s="373"/>
      <c r="F77" s="373"/>
      <c r="G77" s="373"/>
      <c r="H77" s="373"/>
      <c r="I77" s="373"/>
      <c r="J77" s="373"/>
      <c r="K77" s="373"/>
      <c r="L77" s="373"/>
      <c r="M77" s="373"/>
      <c r="N77" s="373"/>
      <c r="O77" s="373"/>
      <c r="P77" s="373"/>
      <c r="Q77" s="398"/>
      <c r="R77" s="373"/>
      <c r="T77" s="373"/>
      <c r="Y77" s="373"/>
      <c r="Z77" s="373"/>
      <c r="AA77" s="373"/>
      <c r="AB77" s="373"/>
      <c r="AC77" s="373"/>
      <c r="AD77" s="373"/>
    </row>
    <row r="78" spans="1:30" s="375" customFormat="1" ht="28.5" customHeight="1">
      <c r="A78" s="373"/>
      <c r="B78" s="373"/>
      <c r="C78" s="633" t="s">
        <v>18</v>
      </c>
      <c r="D78" s="634"/>
      <c r="E78" s="634"/>
      <c r="F78" s="634"/>
      <c r="G78" s="634"/>
      <c r="H78" s="634"/>
      <c r="I78" s="635"/>
      <c r="J78" s="633" t="s">
        <v>19</v>
      </c>
      <c r="K78" s="634"/>
      <c r="L78" s="634"/>
      <c r="M78" s="634"/>
      <c r="N78" s="634"/>
      <c r="O78" s="634"/>
      <c r="P78" s="635"/>
      <c r="Q78" s="373"/>
      <c r="R78" s="373"/>
    </row>
    <row r="79" spans="1:30" s="375" customFormat="1" ht="28.5" customHeight="1">
      <c r="A79" s="373"/>
      <c r="B79" s="373"/>
      <c r="C79" s="552" t="e">
        <f>" " &amp;#REF!</f>
        <v>#REF!</v>
      </c>
      <c r="D79" s="553"/>
      <c r="E79" s="553"/>
      <c r="F79" s="553"/>
      <c r="G79" s="553"/>
      <c r="H79" s="553"/>
      <c r="I79" s="554"/>
      <c r="J79" s="636" t="s">
        <v>93</v>
      </c>
      <c r="K79" s="637"/>
      <c r="L79" s="637"/>
      <c r="M79" s="637"/>
      <c r="N79" s="637"/>
      <c r="O79" s="637"/>
      <c r="P79" s="638"/>
      <c r="Q79" s="373"/>
      <c r="R79" s="373"/>
    </row>
    <row r="80" spans="1:30" s="375" customFormat="1" ht="28.5" customHeight="1">
      <c r="A80" s="373"/>
      <c r="B80" s="373"/>
      <c r="C80" s="639" t="s">
        <v>205</v>
      </c>
      <c r="D80" s="640"/>
      <c r="E80" s="640"/>
      <c r="F80" s="640"/>
      <c r="G80" s="640"/>
      <c r="H80" s="640"/>
      <c r="I80" s="641"/>
      <c r="J80" s="642" t="s">
        <v>94</v>
      </c>
      <c r="K80" s="643"/>
      <c r="L80" s="643"/>
      <c r="M80" s="643"/>
      <c r="N80" s="643"/>
      <c r="O80" s="643"/>
      <c r="P80" s="644"/>
      <c r="Q80" s="373"/>
      <c r="R80" s="373"/>
    </row>
    <row r="81" spans="1:18" s="375" customFormat="1" ht="28.5" customHeight="1">
      <c r="A81" s="373"/>
      <c r="B81" s="373"/>
      <c r="C81" s="543" t="e">
        <f>C79&amp;"  대표 박지웅"</f>
        <v>#REF!</v>
      </c>
      <c r="D81" s="544"/>
      <c r="E81" s="544"/>
      <c r="F81" s="544"/>
      <c r="G81" s="544"/>
      <c r="H81" s="545" t="s">
        <v>184</v>
      </c>
      <c r="I81" s="546"/>
      <c r="J81" s="476" t="s">
        <v>95</v>
      </c>
      <c r="K81" s="630" t="e">
        <f>H4</f>
        <v>#REF!</v>
      </c>
      <c r="L81" s="630"/>
      <c r="M81" s="630"/>
      <c r="N81" s="630"/>
      <c r="O81" s="477"/>
      <c r="P81" s="478" t="s">
        <v>185</v>
      </c>
      <c r="Q81" s="373"/>
      <c r="R81" s="373"/>
    </row>
    <row r="82" spans="1:18" s="375" customFormat="1" ht="15" customHeight="1">
      <c r="A82" s="373"/>
      <c r="B82" s="373"/>
      <c r="C82" s="374"/>
      <c r="D82" s="373"/>
      <c r="E82" s="373"/>
      <c r="F82" s="373"/>
      <c r="G82" s="373"/>
      <c r="H82" s="373"/>
      <c r="I82" s="373"/>
      <c r="J82" s="373"/>
      <c r="K82" s="373"/>
      <c r="L82" s="373"/>
      <c r="M82" s="373"/>
      <c r="N82" s="373"/>
      <c r="O82" s="373"/>
      <c r="P82" s="373"/>
      <c r="Q82" s="373"/>
      <c r="R82" s="373"/>
    </row>
  </sheetData>
  <mergeCells count="118">
    <mergeCell ref="C2:P2"/>
    <mergeCell ref="C4:G4"/>
    <mergeCell ref="H4:J4"/>
    <mergeCell ref="K4:P4"/>
    <mergeCell ref="C5:P5"/>
    <mergeCell ref="AA5:AB5"/>
    <mergeCell ref="C6:C8"/>
    <mergeCell ref="F6:P6"/>
    <mergeCell ref="AA6:AB6"/>
    <mergeCell ref="G7:P7"/>
    <mergeCell ref="E8:P8"/>
    <mergeCell ref="J17:P17"/>
    <mergeCell ref="E19:P19"/>
    <mergeCell ref="E11:M11"/>
    <mergeCell ref="C12:C20"/>
    <mergeCell ref="G12:P12"/>
    <mergeCell ref="E13:G13"/>
    <mergeCell ref="H13:J13"/>
    <mergeCell ref="K13:N13"/>
    <mergeCell ref="O13:P13"/>
    <mergeCell ref="E14:G14"/>
    <mergeCell ref="K14:N14"/>
    <mergeCell ref="O14:P14"/>
    <mergeCell ref="J20:P20"/>
    <mergeCell ref="C9:C11"/>
    <mergeCell ref="F9:I9"/>
    <mergeCell ref="K9:L9"/>
    <mergeCell ref="F10:I10"/>
    <mergeCell ref="J10:P10"/>
    <mergeCell ref="E15:G15"/>
    <mergeCell ref="K15:N15"/>
    <mergeCell ref="O15:P15"/>
    <mergeCell ref="E16:P16"/>
    <mergeCell ref="C21:C26"/>
    <mergeCell ref="E21:P21"/>
    <mergeCell ref="E22:P22"/>
    <mergeCell ref="E23:P23"/>
    <mergeCell ref="E24:P24"/>
    <mergeCell ref="E25:P25"/>
    <mergeCell ref="E26:I26"/>
    <mergeCell ref="J26:P26"/>
    <mergeCell ref="E31:F32"/>
    <mergeCell ref="G31:J31"/>
    <mergeCell ref="K31:N31"/>
    <mergeCell ref="O31:P31"/>
    <mergeCell ref="G32:J32"/>
    <mergeCell ref="K32:N32"/>
    <mergeCell ref="O32:P32"/>
    <mergeCell ref="C27:C39"/>
    <mergeCell ref="E27:G27"/>
    <mergeCell ref="I27:J27"/>
    <mergeCell ref="K27:L27"/>
    <mergeCell ref="M27:N27"/>
    <mergeCell ref="E28:P28"/>
    <mergeCell ref="E29:L29"/>
    <mergeCell ref="N29:O29"/>
    <mergeCell ref="E30:F30"/>
    <mergeCell ref="G30:P30"/>
    <mergeCell ref="E38:P38"/>
    <mergeCell ref="C40:C43"/>
    <mergeCell ref="E40:P40"/>
    <mergeCell ref="E41:P41"/>
    <mergeCell ref="E42:P42"/>
    <mergeCell ref="E43:P43"/>
    <mergeCell ref="E33:F33"/>
    <mergeCell ref="G33:J33"/>
    <mergeCell ref="K33:N33"/>
    <mergeCell ref="O33:P33"/>
    <mergeCell ref="E34:P34"/>
    <mergeCell ref="E35:P35"/>
    <mergeCell ref="E36:P36"/>
    <mergeCell ref="E37:P37"/>
    <mergeCell ref="C44:C47"/>
    <mergeCell ref="E45:P45"/>
    <mergeCell ref="E46:P46"/>
    <mergeCell ref="E47:P47"/>
    <mergeCell ref="C48:C52"/>
    <mergeCell ref="E48:P48"/>
    <mergeCell ref="E49:P49"/>
    <mergeCell ref="E50:P50"/>
    <mergeCell ref="E51:P51"/>
    <mergeCell ref="E52:P52"/>
    <mergeCell ref="E67:P67"/>
    <mergeCell ref="E68:P68"/>
    <mergeCell ref="C53:C65"/>
    <mergeCell ref="E53:P53"/>
    <mergeCell ref="E54:P54"/>
    <mergeCell ref="E55:P55"/>
    <mergeCell ref="E56:P56"/>
    <mergeCell ref="E57:P57"/>
    <mergeCell ref="E58:P58"/>
    <mergeCell ref="E59:P59"/>
    <mergeCell ref="E60:P60"/>
    <mergeCell ref="E61:P61"/>
    <mergeCell ref="T1:W1"/>
    <mergeCell ref="X1:Z1"/>
    <mergeCell ref="C81:G81"/>
    <mergeCell ref="H81:I81"/>
    <mergeCell ref="K81:N81"/>
    <mergeCell ref="C76:P76"/>
    <mergeCell ref="C78:I78"/>
    <mergeCell ref="J78:P78"/>
    <mergeCell ref="C79:I79"/>
    <mergeCell ref="J79:P79"/>
    <mergeCell ref="C80:I80"/>
    <mergeCell ref="J80:P80"/>
    <mergeCell ref="C69:C70"/>
    <mergeCell ref="E69:P69"/>
    <mergeCell ref="E70:P70"/>
    <mergeCell ref="C72:P72"/>
    <mergeCell ref="C73:P73"/>
    <mergeCell ref="C74:P74"/>
    <mergeCell ref="E62:P62"/>
    <mergeCell ref="E63:P63"/>
    <mergeCell ref="E64:P64"/>
    <mergeCell ref="E65:P65"/>
    <mergeCell ref="C66:C68"/>
    <mergeCell ref="E66:P66"/>
  </mergeCells>
  <phoneticPr fontId="15" type="noConversion"/>
  <conditionalFormatting sqref="S5">
    <cfRule type="cellIs" dxfId="3" priority="43" operator="equal">
      <formula>"주간조"</formula>
    </cfRule>
  </conditionalFormatting>
  <conditionalFormatting sqref="T10:T12">
    <cfRule type="cellIs" dxfId="2" priority="38" operator="lessThan">
      <formula>8720</formula>
    </cfRule>
  </conditionalFormatting>
  <conditionalFormatting sqref="T13:T24">
    <cfRule type="cellIs" dxfId="1" priority="16" operator="lessThan">
      <formula>8350</formula>
    </cfRule>
  </conditionalFormatting>
  <conditionalFormatting sqref="Z10:Z24">
    <cfRule type="expression" dxfId="0" priority="1">
      <formula>S10&lt;&gt;Z10</formula>
    </cfRule>
  </conditionalFormatting>
  <pageMargins left="0.43307086614173229" right="0.43307086614173229" top="0.47244094488188981" bottom="0.51181102362204722" header="0.35433070866141736" footer="0.31496062992125984"/>
  <pageSetup paperSize="9" scale="75" orientation="portrait" r:id="rId1"/>
  <rowBreaks count="1" manualBreakCount="1">
    <brk id="39" min="1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D2C92-5AFF-4779-8E1D-40C90E17447E}">
  <dimension ref="A1:AB156"/>
  <sheetViews>
    <sheetView showGridLines="0" view="pageBreakPreview" zoomScale="85" zoomScaleNormal="100" zoomScaleSheetLayoutView="85" workbookViewId="0">
      <selection activeCell="AL21" sqref="AL21:AL22"/>
    </sheetView>
  </sheetViews>
  <sheetFormatPr defaultColWidth="8.88671875" defaultRowHeight="16.5"/>
  <cols>
    <col min="1" max="1" width="6" style="373" customWidth="1"/>
    <col min="2" max="2" width="2.6640625" style="373" customWidth="1"/>
    <col min="3" max="3" width="13.109375" style="374" customWidth="1"/>
    <col min="4" max="4" width="2.33203125" style="373" customWidth="1"/>
    <col min="5" max="5" width="13.5546875" style="373" customWidth="1"/>
    <col min="6" max="6" width="4.33203125" style="373" customWidth="1"/>
    <col min="7" max="7" width="1.77734375" style="373" customWidth="1"/>
    <col min="8" max="8" width="11.33203125" style="373" customWidth="1"/>
    <col min="9" max="9" width="4.33203125" style="373" customWidth="1"/>
    <col min="10" max="11" width="11.77734375" style="373" customWidth="1"/>
    <col min="12" max="12" width="3.21875" style="373" customWidth="1"/>
    <col min="13" max="13" width="4.33203125" style="373" customWidth="1"/>
    <col min="14" max="14" width="5.77734375" style="373" customWidth="1"/>
    <col min="15" max="15" width="5.109375" style="373" customWidth="1"/>
    <col min="16" max="16" width="11.33203125" style="373" customWidth="1"/>
    <col min="17" max="17" width="2.6640625" style="373" customWidth="1"/>
    <col min="18" max="18" width="13.5546875" style="373" bestFit="1" customWidth="1"/>
    <col min="19" max="19" width="12.33203125" style="375" customWidth="1"/>
    <col min="20" max="20" width="6.88671875" style="373" customWidth="1"/>
    <col min="21" max="24" width="6.109375" style="375" customWidth="1"/>
    <col min="25" max="28" width="6.109375" style="373" customWidth="1"/>
    <col min="29" max="16384" width="8.88671875" style="373"/>
  </cols>
  <sheetData>
    <row r="1" spans="1:20" ht="16.5" customHeight="1"/>
    <row r="2" spans="1:20" ht="57" customHeight="1">
      <c r="A2" s="376">
        <v>1</v>
      </c>
      <c r="C2" s="724" t="s">
        <v>54</v>
      </c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4"/>
      <c r="P2" s="724"/>
      <c r="Q2" s="377"/>
    </row>
    <row r="3" spans="1:20" ht="15" customHeight="1">
      <c r="C3" s="382"/>
      <c r="D3" s="383"/>
    </row>
    <row r="4" spans="1:20" ht="25.5" customHeight="1">
      <c r="C4" s="725" t="e">
        <f>#REF! &amp; " 대표와 근로자 ["</f>
        <v>#REF!</v>
      </c>
      <c r="D4" s="725"/>
      <c r="E4" s="725"/>
      <c r="F4" s="725"/>
      <c r="G4" s="725"/>
      <c r="H4" s="726" t="e">
        <f>_xlfn.XLOOKUP(A2,#REF!,#REF!)</f>
        <v>#REF!</v>
      </c>
      <c r="I4" s="726"/>
      <c r="J4" s="726"/>
      <c r="K4" s="727" t="s">
        <v>55</v>
      </c>
      <c r="L4" s="727"/>
      <c r="M4" s="727"/>
      <c r="N4" s="727"/>
      <c r="O4" s="727"/>
      <c r="P4" s="727"/>
      <c r="Q4" s="384"/>
      <c r="R4" s="385" t="e">
        <f>_xlfn.XLOOKUP(A2,#REF!,#REF!)</f>
        <v>#REF!</v>
      </c>
      <c r="S4" s="489" t="s">
        <v>243</v>
      </c>
      <c r="T4" s="488" t="s">
        <v>245</v>
      </c>
    </row>
    <row r="5" spans="1:20" ht="25.5" customHeight="1">
      <c r="C5" s="728" t="s">
        <v>56</v>
      </c>
      <c r="D5" s="728"/>
      <c r="E5" s="728"/>
      <c r="F5" s="728"/>
      <c r="G5" s="728"/>
      <c r="H5" s="728"/>
      <c r="I5" s="728"/>
      <c r="J5" s="728"/>
      <c r="K5" s="728"/>
      <c r="L5" s="728"/>
      <c r="M5" s="728"/>
      <c r="N5" s="728"/>
      <c r="O5" s="728"/>
      <c r="P5" s="728"/>
      <c r="Q5" s="388"/>
      <c r="S5" s="489" t="s">
        <v>244</v>
      </c>
      <c r="T5" s="488" t="s">
        <v>246</v>
      </c>
    </row>
    <row r="6" spans="1:20" ht="25.5" customHeight="1">
      <c r="C6" s="731" t="s">
        <v>76</v>
      </c>
      <c r="D6" s="396"/>
      <c r="E6" s="397" t="s">
        <v>57</v>
      </c>
      <c r="F6" s="732" t="e">
        <f>#REF! &amp; "의 사업장 및 영업에 관한 장소"</f>
        <v>#REF!</v>
      </c>
      <c r="G6" s="732"/>
      <c r="H6" s="732"/>
      <c r="I6" s="732"/>
      <c r="J6" s="732"/>
      <c r="K6" s="732"/>
      <c r="L6" s="732"/>
      <c r="M6" s="732"/>
      <c r="N6" s="732"/>
      <c r="O6" s="732"/>
      <c r="P6" s="732"/>
      <c r="Q6" s="398"/>
      <c r="S6" s="386"/>
    </row>
    <row r="7" spans="1:20" ht="25.5" customHeight="1">
      <c r="C7" s="645"/>
      <c r="D7" s="406"/>
      <c r="E7" s="407" t="s">
        <v>58</v>
      </c>
      <c r="F7" s="407"/>
      <c r="G7" s="655"/>
      <c r="H7" s="655"/>
      <c r="I7" s="655"/>
      <c r="J7" s="655"/>
      <c r="K7" s="655"/>
      <c r="L7" s="655"/>
      <c r="M7" s="655"/>
      <c r="N7" s="655"/>
      <c r="O7" s="655"/>
      <c r="P7" s="655"/>
      <c r="Q7" s="398"/>
      <c r="S7" s="386"/>
    </row>
    <row r="8" spans="1:20" ht="25.5" customHeight="1">
      <c r="C8" s="654"/>
      <c r="D8" s="408"/>
      <c r="E8" s="656" t="s">
        <v>59</v>
      </c>
      <c r="F8" s="656"/>
      <c r="G8" s="656"/>
      <c r="H8" s="656"/>
      <c r="I8" s="656"/>
      <c r="J8" s="656"/>
      <c r="K8" s="656"/>
      <c r="L8" s="656"/>
      <c r="M8" s="656"/>
      <c r="N8" s="656"/>
      <c r="O8" s="656"/>
      <c r="P8" s="656"/>
      <c r="Q8" s="398"/>
      <c r="S8" s="386"/>
    </row>
    <row r="9" spans="1:20" ht="25.5" customHeight="1">
      <c r="C9" s="657" t="s">
        <v>60</v>
      </c>
      <c r="D9" s="412"/>
      <c r="E9" s="136" t="s">
        <v>125</v>
      </c>
      <c r="F9" s="741" t="e">
        <f>_xlfn.XLOOKUP(H4,#REF!,#REF!)</f>
        <v>#REF!</v>
      </c>
      <c r="G9" s="741"/>
      <c r="H9" s="741"/>
      <c r="I9" s="741"/>
      <c r="J9" s="413"/>
      <c r="K9" s="722"/>
      <c r="L9" s="722"/>
      <c r="M9" s="414"/>
      <c r="N9" s="414"/>
      <c r="O9" s="414"/>
      <c r="P9" s="414"/>
      <c r="Q9" s="398"/>
      <c r="S9" s="386"/>
    </row>
    <row r="10" spans="1:20" ht="25.5" customHeight="1">
      <c r="C10" s="645"/>
      <c r="D10" s="406"/>
      <c r="E10" s="420" t="s">
        <v>124</v>
      </c>
      <c r="F10" s="723" t="s">
        <v>175</v>
      </c>
      <c r="G10" s="723"/>
      <c r="H10" s="723"/>
      <c r="I10" s="723"/>
      <c r="J10" s="670" t="s">
        <v>176</v>
      </c>
      <c r="K10" s="670"/>
      <c r="L10" s="670"/>
      <c r="M10" s="670"/>
      <c r="N10" s="670"/>
      <c r="O10" s="670"/>
      <c r="P10" s="670"/>
      <c r="Q10" s="398"/>
      <c r="S10" s="386"/>
    </row>
    <row r="11" spans="1:20" ht="25.5" customHeight="1">
      <c r="C11" s="654"/>
      <c r="D11" s="429"/>
      <c r="E11" s="664" t="s">
        <v>126</v>
      </c>
      <c r="F11" s="664"/>
      <c r="G11" s="664"/>
      <c r="H11" s="664"/>
      <c r="I11" s="664"/>
      <c r="J11" s="664"/>
      <c r="K11" s="664"/>
      <c r="L11" s="664"/>
      <c r="M11" s="664"/>
      <c r="N11" s="430"/>
      <c r="O11" s="430"/>
      <c r="P11" s="431"/>
      <c r="Q11" s="420"/>
      <c r="S11" s="479"/>
    </row>
    <row r="12" spans="1:20" ht="25.5" customHeight="1">
      <c r="C12" s="645" t="s">
        <v>75</v>
      </c>
      <c r="D12" s="406"/>
      <c r="E12" s="369" t="s">
        <v>177</v>
      </c>
      <c r="F12" s="483" t="e">
        <f>_xlfn.XLOOKUP(R4,#REF!,#REF!)</f>
        <v>#REF!</v>
      </c>
      <c r="G12" s="708" t="s">
        <v>178</v>
      </c>
      <c r="H12" s="708"/>
      <c r="I12" s="708"/>
      <c r="J12" s="708"/>
      <c r="K12" s="708"/>
      <c r="L12" s="708"/>
      <c r="M12" s="708"/>
      <c r="N12" s="708"/>
      <c r="O12" s="708"/>
      <c r="P12" s="708"/>
      <c r="Q12" s="398"/>
      <c r="S12" s="386"/>
    </row>
    <row r="13" spans="1:20" ht="25.5" customHeight="1">
      <c r="C13" s="645"/>
      <c r="D13" s="406"/>
      <c r="E13" s="709" t="s">
        <v>73</v>
      </c>
      <c r="F13" s="710"/>
      <c r="G13" s="711"/>
      <c r="H13" s="712" t="s">
        <v>61</v>
      </c>
      <c r="I13" s="713"/>
      <c r="J13" s="714"/>
      <c r="K13" s="715" t="s">
        <v>17</v>
      </c>
      <c r="L13" s="716"/>
      <c r="M13" s="716"/>
      <c r="N13" s="717"/>
      <c r="O13" s="600" t="e">
        <f>IF(_xlfn.XLOOKUP(R4,#REF!,#REF!)&gt;=40,"비고 ","근로일별 근로시간")</f>
        <v>#REF!</v>
      </c>
      <c r="P13" s="600"/>
      <c r="Q13" s="439"/>
      <c r="S13" s="386"/>
    </row>
    <row r="14" spans="1:20" ht="25.5" customHeight="1">
      <c r="C14" s="645"/>
      <c r="D14" s="441"/>
      <c r="E14" s="601" t="s">
        <v>143</v>
      </c>
      <c r="F14" s="602"/>
      <c r="G14" s="603"/>
      <c r="H14" s="372" t="e">
        <f>_xlfn.XLOOKUP(A2,#REF!,#REF!)</f>
        <v>#REF!</v>
      </c>
      <c r="I14" s="370" t="e">
        <f>_xlfn.XLOOKUP(A2,#REF!,#REF!)</f>
        <v>#REF!</v>
      </c>
      <c r="J14" s="371" t="e">
        <f>_xlfn.XLOOKUP(A2,#REF!,#REF!)</f>
        <v>#REF!</v>
      </c>
      <c r="K14" s="604" t="e">
        <f>_xlfn.XLOOKUP(A2,#REF!,#REF!)</f>
        <v>#REF!</v>
      </c>
      <c r="L14" s="605"/>
      <c r="M14" s="605"/>
      <c r="N14" s="606"/>
      <c r="O14" s="607" t="e">
        <f>IF(E14="","",IF(_xlfn.XLOOKUP(R4,#REF!,#REF!)&gt;=40,"",INDEX(#REF!,MATCH(R4,#REF!,0))&amp;"시간"))</f>
        <v>#REF!</v>
      </c>
      <c r="P14" s="608"/>
      <c r="Q14" s="442"/>
      <c r="R14" s="373" t="s">
        <v>218</v>
      </c>
      <c r="S14" s="386"/>
    </row>
    <row r="15" spans="1:20" ht="25.5" customHeight="1">
      <c r="C15" s="645"/>
      <c r="D15" s="441"/>
      <c r="E15" s="601" t="s">
        <v>144</v>
      </c>
      <c r="F15" s="602"/>
      <c r="G15" s="603"/>
      <c r="H15" s="372" t="e">
        <f>_xlfn.XLOOKUP(A2,#REF!,#REF!)</f>
        <v>#REF!</v>
      </c>
      <c r="I15" s="370" t="e">
        <f>_xlfn.XLOOKUP(A2,#REF!,#REF!)</f>
        <v>#REF!</v>
      </c>
      <c r="J15" s="371" t="e">
        <f>_xlfn.XLOOKUP(A2,#REF!,#REF!)</f>
        <v>#REF!</v>
      </c>
      <c r="K15" s="604" t="e">
        <f>_xlfn.XLOOKUP(A2,#REF!,#REF!)</f>
        <v>#REF!</v>
      </c>
      <c r="L15" s="605"/>
      <c r="M15" s="605"/>
      <c r="N15" s="606"/>
      <c r="O15" s="607" t="e">
        <f>IF(E15="","",IF(_xlfn.XLOOKUP(R4,#REF!,#REF!)&gt;=40,"",INDEX(#REF!,MATCH(R4,#REF!,0))&amp;"시간"))</f>
        <v>#REF!</v>
      </c>
      <c r="P15" s="608"/>
      <c r="Q15" s="442"/>
      <c r="S15" s="386"/>
    </row>
    <row r="16" spans="1:20" ht="25.5" customHeight="1">
      <c r="C16" s="645"/>
      <c r="D16" s="441"/>
      <c r="E16" s="601"/>
      <c r="F16" s="602"/>
      <c r="G16" s="603"/>
      <c r="H16" s="604"/>
      <c r="I16" s="605"/>
      <c r="J16" s="606"/>
      <c r="K16" s="604"/>
      <c r="L16" s="605"/>
      <c r="M16" s="605"/>
      <c r="N16" s="606"/>
      <c r="O16" s="607" t="str">
        <f>IF(E16="","",IF(_xlfn.XLOOKUP(R4,#REF!,#REF!)&gt;=40,"",INDEX(#REF!,MATCH(R4,#REF!,0))&amp;"시간"))</f>
        <v/>
      </c>
      <c r="P16" s="608"/>
      <c r="Q16" s="442"/>
      <c r="S16" s="386"/>
    </row>
    <row r="17" spans="3:19" ht="25.5" customHeight="1">
      <c r="C17" s="645"/>
      <c r="D17" s="441"/>
      <c r="E17" s="609" t="s">
        <v>192</v>
      </c>
      <c r="F17" s="609"/>
      <c r="G17" s="609"/>
      <c r="H17" s="609"/>
      <c r="I17" s="609"/>
      <c r="J17" s="609"/>
      <c r="K17" s="609"/>
      <c r="L17" s="609"/>
      <c r="M17" s="609"/>
      <c r="N17" s="609"/>
      <c r="O17" s="609"/>
      <c r="P17" s="609"/>
      <c r="Q17" s="420"/>
      <c r="S17" s="373"/>
    </row>
    <row r="18" spans="3:19" ht="25.5" customHeight="1">
      <c r="C18" s="645"/>
      <c r="D18" s="441"/>
      <c r="E18" s="361"/>
      <c r="F18" s="361"/>
      <c r="G18" s="361"/>
      <c r="H18" s="361"/>
      <c r="I18" s="361"/>
      <c r="J18" s="685" t="s">
        <v>179</v>
      </c>
      <c r="K18" s="685"/>
      <c r="L18" s="685"/>
      <c r="M18" s="685"/>
      <c r="N18" s="685"/>
      <c r="O18" s="685"/>
      <c r="P18" s="685"/>
      <c r="Q18" s="420"/>
      <c r="S18" s="373"/>
    </row>
    <row r="19" spans="3:19" ht="25.5" customHeight="1">
      <c r="C19" s="645"/>
      <c r="D19" s="441"/>
      <c r="E19" s="420" t="s">
        <v>194</v>
      </c>
      <c r="F19" s="420"/>
      <c r="G19" s="420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S19" s="373"/>
    </row>
    <row r="20" spans="3:19" ht="25.5" customHeight="1" thickBot="1">
      <c r="C20" s="645"/>
      <c r="D20" s="441"/>
      <c r="E20" s="707" t="s">
        <v>127</v>
      </c>
      <c r="F20" s="707"/>
      <c r="G20" s="707"/>
      <c r="H20" s="707"/>
      <c r="I20" s="707"/>
      <c r="J20" s="707"/>
      <c r="K20" s="707"/>
      <c r="L20" s="707"/>
      <c r="M20" s="707"/>
      <c r="N20" s="707"/>
      <c r="O20" s="707"/>
      <c r="P20" s="707"/>
      <c r="Q20" s="443"/>
      <c r="S20" s="373"/>
    </row>
    <row r="21" spans="3:19" ht="25.5" customHeight="1">
      <c r="C21" s="654"/>
      <c r="D21" s="444"/>
      <c r="E21" s="445"/>
      <c r="F21" s="445"/>
      <c r="G21" s="446"/>
      <c r="H21" s="446"/>
      <c r="I21" s="446"/>
      <c r="J21" s="685" t="s">
        <v>179</v>
      </c>
      <c r="K21" s="685"/>
      <c r="L21" s="685"/>
      <c r="M21" s="685"/>
      <c r="N21" s="685"/>
      <c r="O21" s="685"/>
      <c r="P21" s="685"/>
      <c r="Q21" s="398"/>
      <c r="R21" s="485" t="s">
        <v>242</v>
      </c>
      <c r="S21" s="373"/>
    </row>
    <row r="22" spans="3:19" ht="25.5" customHeight="1" thickBot="1">
      <c r="C22" s="657" t="s">
        <v>62</v>
      </c>
      <c r="D22" s="406"/>
      <c r="E22" s="592" t="str">
        <f>"1) 신규입사자의 경우 최초입사일부터     "&amp;IF(R22&lt;=0,"",R22)&amp;" 개월간은 수습기간을 적용하기로 한다. ("</f>
        <v>1) 신규입사자의 경우 최초입사일부터      개월간은 수습기간을 적용하기로 한다. (</v>
      </c>
      <c r="F22" s="592"/>
      <c r="G22" s="592"/>
      <c r="H22" s="592"/>
      <c r="I22" s="592"/>
      <c r="J22" s="592"/>
      <c r="K22" s="592"/>
      <c r="L22" s="593" t="str">
        <f>IF(R22&lt;=0,"",F9)</f>
        <v/>
      </c>
      <c r="M22" s="593"/>
      <c r="N22" s="593"/>
      <c r="O22" s="484" t="s">
        <v>240</v>
      </c>
      <c r="P22" s="487" t="str">
        <f>IF(R22&lt;=0,"",DATE(YEAR(L22),MONTH(L22)+R22,DAY(L22)-1))</f>
        <v/>
      </c>
      <c r="Q22" s="226" t="s">
        <v>241</v>
      </c>
      <c r="R22" s="486">
        <v>0</v>
      </c>
      <c r="S22" s="373"/>
    </row>
    <row r="23" spans="3:19" ht="25.5" customHeight="1">
      <c r="C23" s="645"/>
      <c r="D23" s="406"/>
      <c r="E23" s="681" t="s">
        <v>111</v>
      </c>
      <c r="F23" s="681"/>
      <c r="G23" s="681"/>
      <c r="H23" s="681"/>
      <c r="I23" s="681"/>
      <c r="J23" s="681"/>
      <c r="K23" s="681"/>
      <c r="L23" s="681"/>
      <c r="M23" s="681"/>
      <c r="N23" s="681"/>
      <c r="O23" s="681"/>
      <c r="P23" s="681"/>
      <c r="Q23" s="447"/>
      <c r="S23" s="373"/>
    </row>
    <row r="24" spans="3:19" ht="25.5" customHeight="1">
      <c r="C24" s="645"/>
      <c r="D24" s="406"/>
      <c r="E24" s="682" t="s">
        <v>90</v>
      </c>
      <c r="F24" s="682"/>
      <c r="G24" s="682"/>
      <c r="H24" s="682"/>
      <c r="I24" s="682"/>
      <c r="J24" s="682"/>
      <c r="K24" s="682"/>
      <c r="L24" s="682"/>
      <c r="M24" s="682"/>
      <c r="N24" s="682"/>
      <c r="O24" s="682"/>
      <c r="P24" s="682"/>
      <c r="Q24" s="448"/>
      <c r="S24" s="480"/>
    </row>
    <row r="25" spans="3:19" ht="25.5" customHeight="1">
      <c r="C25" s="645"/>
      <c r="D25" s="406"/>
      <c r="E25" s="683" t="s">
        <v>212</v>
      </c>
      <c r="F25" s="683"/>
      <c r="G25" s="683"/>
      <c r="H25" s="683"/>
      <c r="I25" s="683"/>
      <c r="J25" s="683"/>
      <c r="K25" s="683"/>
      <c r="L25" s="683"/>
      <c r="M25" s="683"/>
      <c r="N25" s="683"/>
      <c r="O25" s="683"/>
      <c r="P25" s="683"/>
      <c r="Q25" s="448"/>
    </row>
    <row r="26" spans="3:19" ht="25.5" customHeight="1">
      <c r="C26" s="645"/>
      <c r="D26" s="406"/>
      <c r="E26" s="683" t="s">
        <v>217</v>
      </c>
      <c r="F26" s="683"/>
      <c r="G26" s="683"/>
      <c r="H26" s="683"/>
      <c r="I26" s="683"/>
      <c r="J26" s="683"/>
      <c r="K26" s="683"/>
      <c r="L26" s="683"/>
      <c r="M26" s="683"/>
      <c r="N26" s="683"/>
      <c r="O26" s="683"/>
      <c r="P26" s="683"/>
      <c r="Q26" s="448"/>
    </row>
    <row r="27" spans="3:19" ht="25.5" customHeight="1">
      <c r="C27" s="654"/>
      <c r="D27" s="429"/>
      <c r="E27" s="684" t="s">
        <v>213</v>
      </c>
      <c r="F27" s="684"/>
      <c r="G27" s="684"/>
      <c r="H27" s="684"/>
      <c r="I27" s="684"/>
      <c r="J27" s="685" t="s">
        <v>179</v>
      </c>
      <c r="K27" s="685"/>
      <c r="L27" s="685"/>
      <c r="M27" s="685"/>
      <c r="N27" s="685"/>
      <c r="O27" s="685"/>
      <c r="P27" s="685"/>
      <c r="Q27" s="448"/>
    </row>
    <row r="28" spans="3:19" ht="25.5" customHeight="1">
      <c r="C28" s="657" t="s">
        <v>71</v>
      </c>
      <c r="D28" s="456"/>
      <c r="E28" s="458" t="s">
        <v>211</v>
      </c>
      <c r="F28" s="702"/>
      <c r="G28" s="702"/>
      <c r="H28" s="702"/>
      <c r="I28" s="737" t="s">
        <v>180</v>
      </c>
      <c r="J28" s="737"/>
      <c r="K28" s="702"/>
      <c r="L28" s="702"/>
      <c r="M28" s="458"/>
      <c r="N28" s="458"/>
      <c r="O28" s="458"/>
      <c r="P28" s="459"/>
      <c r="Q28" s="448"/>
      <c r="S28" s="448"/>
    </row>
    <row r="29" spans="3:19" ht="25.5" customHeight="1">
      <c r="C29" s="645"/>
      <c r="D29" s="406"/>
      <c r="E29" s="670" t="s">
        <v>203</v>
      </c>
      <c r="F29" s="670"/>
      <c r="G29" s="670"/>
      <c r="H29" s="670"/>
      <c r="I29" s="670"/>
      <c r="J29" s="670"/>
      <c r="K29" s="670"/>
      <c r="L29" s="670"/>
      <c r="M29" s="670"/>
      <c r="N29" s="670"/>
      <c r="O29" s="670"/>
      <c r="P29" s="670"/>
      <c r="Q29" s="448"/>
      <c r="S29" s="460"/>
    </row>
    <row r="30" spans="3:19" ht="25.5" customHeight="1">
      <c r="C30" s="645"/>
      <c r="D30" s="406"/>
      <c r="E30" s="613" t="s">
        <v>204</v>
      </c>
      <c r="F30" s="613"/>
      <c r="G30" s="613"/>
      <c r="H30" s="613"/>
      <c r="I30" s="613"/>
      <c r="J30" s="613"/>
      <c r="K30" s="613"/>
      <c r="L30" s="613"/>
      <c r="M30" s="613"/>
      <c r="N30" s="613"/>
      <c r="O30" s="613"/>
      <c r="P30" s="613"/>
      <c r="Q30" s="481"/>
      <c r="S30" s="481"/>
    </row>
    <row r="31" spans="3:19" ht="25.5" customHeight="1">
      <c r="C31" s="645"/>
      <c r="D31" s="406"/>
      <c r="E31" s="738" t="s">
        <v>214</v>
      </c>
      <c r="F31" s="738"/>
      <c r="G31" s="738"/>
      <c r="H31" s="738"/>
      <c r="I31" s="738"/>
      <c r="J31" s="738"/>
      <c r="K31" s="738"/>
      <c r="L31" s="738"/>
      <c r="M31" s="738"/>
      <c r="N31" s="738"/>
      <c r="O31" s="738"/>
      <c r="P31" s="738"/>
      <c r="Q31" s="398"/>
      <c r="R31" s="463"/>
      <c r="S31" s="398"/>
    </row>
    <row r="32" spans="3:19" ht="25.5" customHeight="1">
      <c r="C32" s="645"/>
      <c r="D32" s="406"/>
      <c r="E32" s="739" t="s">
        <v>215</v>
      </c>
      <c r="F32" s="739"/>
      <c r="G32" s="739"/>
      <c r="H32" s="739"/>
      <c r="I32" s="739"/>
      <c r="J32" s="739"/>
      <c r="K32" s="739"/>
      <c r="L32" s="739"/>
      <c r="M32" s="739"/>
      <c r="N32" s="739"/>
      <c r="O32" s="739"/>
      <c r="P32" s="739"/>
      <c r="Q32" s="439"/>
      <c r="S32" s="439"/>
    </row>
    <row r="33" spans="1:28" s="375" customFormat="1" ht="25.5" customHeight="1">
      <c r="A33" s="373"/>
      <c r="B33" s="373"/>
      <c r="C33" s="645"/>
      <c r="D33" s="406"/>
      <c r="E33" s="548" t="e">
        <f>"5) 매월 1일～말일까지 근로에 대한 임금은 익월  "&amp;DAY(#REF!)&amp;" 일에 본인계좌로 입금 지급한다."</f>
        <v>#REF!</v>
      </c>
      <c r="F33" s="548"/>
      <c r="G33" s="548"/>
      <c r="H33" s="548"/>
      <c r="I33" s="548"/>
      <c r="J33" s="548"/>
      <c r="K33" s="548"/>
      <c r="L33" s="548"/>
      <c r="M33" s="548"/>
      <c r="N33" s="548"/>
      <c r="O33" s="548"/>
      <c r="P33" s="548"/>
      <c r="Q33" s="442"/>
      <c r="R33" s="373"/>
      <c r="S33" s="442"/>
      <c r="T33" s="373"/>
      <c r="Y33" s="373"/>
      <c r="Z33" s="373"/>
      <c r="AA33" s="373"/>
      <c r="AB33" s="373"/>
    </row>
    <row r="34" spans="1:28" s="375" customFormat="1" ht="25.5" customHeight="1">
      <c r="A34" s="373"/>
      <c r="B34" s="373"/>
      <c r="C34" s="645"/>
      <c r="D34" s="406"/>
      <c r="E34" s="561" t="s">
        <v>216</v>
      </c>
      <c r="F34" s="561"/>
      <c r="G34" s="561"/>
      <c r="H34" s="561"/>
      <c r="I34" s="561"/>
      <c r="J34" s="561"/>
      <c r="K34" s="561"/>
      <c r="L34" s="561"/>
      <c r="M34" s="561"/>
      <c r="N34" s="561"/>
      <c r="O34" s="561"/>
      <c r="P34" s="561"/>
      <c r="Q34" s="442"/>
      <c r="R34" s="373"/>
      <c r="S34" s="442"/>
      <c r="T34" s="373"/>
      <c r="V34" s="482"/>
      <c r="Y34" s="373"/>
      <c r="Z34" s="373"/>
      <c r="AA34" s="373"/>
      <c r="AB34" s="373"/>
    </row>
    <row r="35" spans="1:28" s="375" customFormat="1" ht="25.5" customHeight="1">
      <c r="A35" s="373"/>
      <c r="B35" s="373"/>
      <c r="C35" s="654"/>
      <c r="D35" s="429"/>
      <c r="E35" s="740" t="s">
        <v>106</v>
      </c>
      <c r="F35" s="740"/>
      <c r="G35" s="740"/>
      <c r="H35" s="740"/>
      <c r="I35" s="740"/>
      <c r="J35" s="740"/>
      <c r="K35" s="740"/>
      <c r="L35" s="740"/>
      <c r="M35" s="740"/>
      <c r="N35" s="740"/>
      <c r="O35" s="740"/>
      <c r="P35" s="740"/>
      <c r="Q35" s="442"/>
      <c r="R35" s="373"/>
      <c r="S35" s="442"/>
      <c r="T35" s="373"/>
      <c r="V35" s="482"/>
      <c r="Y35" s="373"/>
      <c r="Z35" s="373"/>
      <c r="AA35" s="373"/>
      <c r="AB35" s="373"/>
    </row>
    <row r="36" spans="1:28" s="375" customFormat="1" ht="25.5" customHeight="1">
      <c r="A36" s="373"/>
      <c r="B36" s="373"/>
      <c r="C36" s="657" t="s">
        <v>72</v>
      </c>
      <c r="D36" s="412"/>
      <c r="E36" s="735" t="s">
        <v>109</v>
      </c>
      <c r="F36" s="735"/>
      <c r="G36" s="735"/>
      <c r="H36" s="735"/>
      <c r="I36" s="735"/>
      <c r="J36" s="735"/>
      <c r="K36" s="735"/>
      <c r="L36" s="735"/>
      <c r="M36" s="735"/>
      <c r="N36" s="735"/>
      <c r="O36" s="735"/>
      <c r="P36" s="735"/>
      <c r="Q36" s="398"/>
      <c r="R36" s="373"/>
      <c r="T36" s="373"/>
      <c r="Y36" s="373"/>
      <c r="Z36" s="373"/>
      <c r="AA36" s="373"/>
      <c r="AB36" s="373"/>
    </row>
    <row r="37" spans="1:28" s="375" customFormat="1" ht="25.5" customHeight="1">
      <c r="A37" s="373"/>
      <c r="B37" s="373"/>
      <c r="C37" s="645"/>
      <c r="D37" s="406"/>
      <c r="E37" s="670" t="s">
        <v>193</v>
      </c>
      <c r="F37" s="670"/>
      <c r="G37" s="670"/>
      <c r="H37" s="670"/>
      <c r="I37" s="670"/>
      <c r="J37" s="670"/>
      <c r="K37" s="670"/>
      <c r="L37" s="670"/>
      <c r="M37" s="670"/>
      <c r="N37" s="670"/>
      <c r="O37" s="670"/>
      <c r="P37" s="670"/>
      <c r="Q37" s="398"/>
      <c r="R37" s="373"/>
      <c r="T37" s="373"/>
      <c r="Y37" s="373"/>
      <c r="Z37" s="373"/>
      <c r="AA37" s="373"/>
      <c r="AB37" s="373"/>
    </row>
    <row r="38" spans="1:28" s="375" customFormat="1" ht="25.5" customHeight="1">
      <c r="A38" s="373"/>
      <c r="B38" s="373"/>
      <c r="C38" s="645"/>
      <c r="D38" s="406"/>
      <c r="E38" s="655" t="s">
        <v>85</v>
      </c>
      <c r="F38" s="655"/>
      <c r="G38" s="655"/>
      <c r="H38" s="655"/>
      <c r="I38" s="655"/>
      <c r="J38" s="655"/>
      <c r="K38" s="655"/>
      <c r="L38" s="655"/>
      <c r="M38" s="655"/>
      <c r="N38" s="655"/>
      <c r="O38" s="655"/>
      <c r="P38" s="655"/>
      <c r="Q38" s="398"/>
      <c r="R38" s="373"/>
      <c r="T38" s="373"/>
      <c r="Y38" s="373"/>
      <c r="Z38" s="373"/>
      <c r="AA38" s="373"/>
      <c r="AB38" s="373"/>
    </row>
    <row r="39" spans="1:28" s="375" customFormat="1" ht="25.5" customHeight="1">
      <c r="A39" s="373"/>
      <c r="B39" s="373"/>
      <c r="C39" s="699"/>
      <c r="D39" s="464"/>
      <c r="E39" s="736" t="s">
        <v>74</v>
      </c>
      <c r="F39" s="736"/>
      <c r="G39" s="736"/>
      <c r="H39" s="736"/>
      <c r="I39" s="736"/>
      <c r="J39" s="736"/>
      <c r="K39" s="736"/>
      <c r="L39" s="736"/>
      <c r="M39" s="736"/>
      <c r="N39" s="736"/>
      <c r="O39" s="736"/>
      <c r="P39" s="736"/>
      <c r="Q39" s="398"/>
      <c r="R39" s="373"/>
      <c r="T39" s="373"/>
      <c r="Y39" s="373"/>
      <c r="Z39" s="373"/>
      <c r="AA39" s="373"/>
      <c r="AB39" s="373"/>
    </row>
    <row r="40" spans="1:28" ht="25.5" customHeight="1">
      <c r="C40" s="660" t="s">
        <v>114</v>
      </c>
      <c r="D40" s="469"/>
      <c r="E40" s="233" t="e">
        <f>"1) 유급휴일 : ①주휴일("&amp;_xlfn.XLOOKUP(H4,#REF!,#REF!)&amp;", 1주간의 소정근로일을 개근한 경우에 유급), ②근로자의 날(5/1), ③관공서 공휴일 및 대체공휴일"</f>
        <v>#REF!</v>
      </c>
      <c r="F40" s="470"/>
      <c r="G40" s="470"/>
      <c r="H40" s="470"/>
      <c r="I40" s="470"/>
      <c r="J40" s="470"/>
      <c r="K40" s="470"/>
      <c r="L40" s="470"/>
      <c r="M40" s="470"/>
      <c r="N40" s="470"/>
      <c r="O40" s="470"/>
      <c r="P40" s="470"/>
      <c r="Q40" s="471"/>
      <c r="S40" s="472"/>
    </row>
    <row r="41" spans="1:28" ht="25.5" customHeight="1">
      <c r="C41" s="645"/>
      <c r="E41" s="662" t="s">
        <v>117</v>
      </c>
      <c r="F41" s="662"/>
      <c r="G41" s="662"/>
      <c r="H41" s="662"/>
      <c r="I41" s="662"/>
      <c r="J41" s="662"/>
      <c r="K41" s="662"/>
      <c r="L41" s="662"/>
      <c r="M41" s="662"/>
      <c r="N41" s="662"/>
      <c r="O41" s="662"/>
      <c r="P41" s="662"/>
      <c r="Q41" s="398"/>
      <c r="S41" s="473"/>
    </row>
    <row r="42" spans="1:28" ht="25.5" customHeight="1">
      <c r="C42" s="645"/>
      <c r="E42" s="662" t="s">
        <v>115</v>
      </c>
      <c r="F42" s="662"/>
      <c r="G42" s="662"/>
      <c r="H42" s="662"/>
      <c r="I42" s="662"/>
      <c r="J42" s="662"/>
      <c r="K42" s="662"/>
      <c r="L42" s="662"/>
      <c r="M42" s="662"/>
      <c r="N42" s="662"/>
      <c r="O42" s="662"/>
      <c r="P42" s="662"/>
      <c r="Q42" s="398"/>
    </row>
    <row r="43" spans="1:28" ht="25.5" customHeight="1">
      <c r="C43" s="661"/>
      <c r="D43" s="474"/>
      <c r="E43" s="663" t="s">
        <v>116</v>
      </c>
      <c r="F43" s="663"/>
      <c r="G43" s="663"/>
      <c r="H43" s="663"/>
      <c r="I43" s="663"/>
      <c r="J43" s="663"/>
      <c r="K43" s="663"/>
      <c r="L43" s="663"/>
      <c r="M43" s="663"/>
      <c r="N43" s="663"/>
      <c r="O43" s="663"/>
      <c r="P43" s="663"/>
      <c r="Q43" s="398"/>
    </row>
    <row r="44" spans="1:28" ht="25.5" customHeight="1">
      <c r="C44" s="645" t="s">
        <v>113</v>
      </c>
      <c r="E44" s="594" t="s">
        <v>118</v>
      </c>
      <c r="F44" s="594"/>
      <c r="G44" s="594"/>
      <c r="H44" s="594"/>
      <c r="I44" s="594"/>
      <c r="J44" s="594"/>
      <c r="K44" s="594"/>
      <c r="L44" s="594"/>
      <c r="M44" s="594"/>
      <c r="N44" s="594"/>
      <c r="O44" s="594"/>
      <c r="P44" s="594"/>
      <c r="Q44" s="398"/>
      <c r="S44" s="472"/>
    </row>
    <row r="45" spans="1:28" ht="25.5" customHeight="1">
      <c r="C45" s="645"/>
      <c r="E45" s="595" t="s">
        <v>107</v>
      </c>
      <c r="F45" s="595"/>
      <c r="G45" s="595"/>
      <c r="H45" s="595"/>
      <c r="I45" s="595"/>
      <c r="J45" s="595"/>
      <c r="K45" s="595"/>
      <c r="L45" s="595"/>
      <c r="M45" s="595"/>
      <c r="N45" s="595"/>
      <c r="O45" s="595"/>
      <c r="P45" s="595"/>
      <c r="Q45" s="398"/>
    </row>
    <row r="46" spans="1:28" ht="25.5" customHeight="1">
      <c r="C46" s="645"/>
      <c r="E46" s="595" t="s">
        <v>119</v>
      </c>
      <c r="F46" s="595"/>
      <c r="G46" s="595"/>
      <c r="H46" s="595"/>
      <c r="I46" s="595"/>
      <c r="J46" s="595"/>
      <c r="K46" s="595"/>
      <c r="L46" s="595"/>
      <c r="M46" s="595"/>
      <c r="N46" s="595"/>
      <c r="O46" s="595"/>
      <c r="P46" s="595"/>
      <c r="Q46" s="398"/>
    </row>
    <row r="47" spans="1:28" ht="25.5" customHeight="1">
      <c r="C47" s="645"/>
      <c r="E47" s="594" t="s">
        <v>120</v>
      </c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398"/>
    </row>
    <row r="48" spans="1:28" ht="25.5" customHeight="1">
      <c r="C48" s="654"/>
      <c r="D48" s="429"/>
      <c r="E48" s="664" t="s">
        <v>108</v>
      </c>
      <c r="F48" s="664"/>
      <c r="G48" s="664"/>
      <c r="H48" s="664"/>
      <c r="I48" s="664"/>
      <c r="J48" s="664"/>
      <c r="K48" s="664"/>
      <c r="L48" s="664"/>
      <c r="M48" s="664"/>
      <c r="N48" s="664"/>
      <c r="O48" s="664"/>
      <c r="P48" s="664"/>
      <c r="Q48" s="398"/>
    </row>
    <row r="49" spans="3:17" ht="25.5" customHeight="1">
      <c r="C49" s="657" t="s">
        <v>121</v>
      </c>
      <c r="D49" s="412"/>
      <c r="E49" s="658" t="s">
        <v>110</v>
      </c>
      <c r="F49" s="658"/>
      <c r="G49" s="658"/>
      <c r="H49" s="658"/>
      <c r="I49" s="658"/>
      <c r="J49" s="658"/>
      <c r="K49" s="658"/>
      <c r="L49" s="658"/>
      <c r="M49" s="658"/>
      <c r="N49" s="658"/>
      <c r="O49" s="658"/>
      <c r="P49" s="658"/>
      <c r="Q49" s="398"/>
    </row>
    <row r="50" spans="3:17" ht="25.5" customHeight="1">
      <c r="C50" s="645"/>
      <c r="D50" s="406"/>
      <c r="E50" s="659" t="s">
        <v>69</v>
      </c>
      <c r="F50" s="659"/>
      <c r="G50" s="659"/>
      <c r="H50" s="659"/>
      <c r="I50" s="659"/>
      <c r="J50" s="659"/>
      <c r="K50" s="659"/>
      <c r="L50" s="659"/>
      <c r="M50" s="659"/>
      <c r="N50" s="659"/>
      <c r="O50" s="659"/>
      <c r="P50" s="659"/>
      <c r="Q50" s="398"/>
    </row>
    <row r="51" spans="3:17" ht="25.5" customHeight="1">
      <c r="C51" s="645"/>
      <c r="D51" s="406"/>
      <c r="E51" s="647" t="s">
        <v>70</v>
      </c>
      <c r="F51" s="647"/>
      <c r="G51" s="647"/>
      <c r="H51" s="647"/>
      <c r="I51" s="647"/>
      <c r="J51" s="647"/>
      <c r="K51" s="647"/>
      <c r="L51" s="647"/>
      <c r="M51" s="647"/>
      <c r="N51" s="647"/>
      <c r="O51" s="647"/>
      <c r="P51" s="647"/>
      <c r="Q51" s="398"/>
    </row>
    <row r="52" spans="3:17" ht="25.5" customHeight="1">
      <c r="C52" s="645"/>
      <c r="D52" s="406"/>
      <c r="E52" s="655" t="s">
        <v>96</v>
      </c>
      <c r="F52" s="655"/>
      <c r="G52" s="655"/>
      <c r="H52" s="655"/>
      <c r="I52" s="655"/>
      <c r="J52" s="655"/>
      <c r="K52" s="655"/>
      <c r="L52" s="655"/>
      <c r="M52" s="655"/>
      <c r="N52" s="655"/>
      <c r="O52" s="655"/>
      <c r="P52" s="655"/>
      <c r="Q52" s="398"/>
    </row>
    <row r="53" spans="3:17" ht="25.5" customHeight="1">
      <c r="C53" s="645"/>
      <c r="D53" s="406"/>
      <c r="E53" s="655" t="s">
        <v>97</v>
      </c>
      <c r="F53" s="655"/>
      <c r="G53" s="655"/>
      <c r="H53" s="655"/>
      <c r="I53" s="655"/>
      <c r="J53" s="655"/>
      <c r="K53" s="655"/>
      <c r="L53" s="655"/>
      <c r="M53" s="655"/>
      <c r="N53" s="655"/>
      <c r="O53" s="655"/>
      <c r="P53" s="655"/>
      <c r="Q53" s="439"/>
    </row>
    <row r="54" spans="3:17" ht="25.5" customHeight="1">
      <c r="C54" s="645"/>
      <c r="D54" s="406"/>
      <c r="E54" s="655" t="s">
        <v>98</v>
      </c>
      <c r="F54" s="655"/>
      <c r="G54" s="655"/>
      <c r="H54" s="655"/>
      <c r="I54" s="655"/>
      <c r="J54" s="655"/>
      <c r="K54" s="655"/>
      <c r="L54" s="655"/>
      <c r="M54" s="655"/>
      <c r="N54" s="655"/>
      <c r="O54" s="655"/>
      <c r="P54" s="655"/>
      <c r="Q54" s="442"/>
    </row>
    <row r="55" spans="3:17" ht="25.5" customHeight="1">
      <c r="C55" s="645"/>
      <c r="D55" s="406"/>
      <c r="E55" s="652" t="s">
        <v>99</v>
      </c>
      <c r="F55" s="652"/>
      <c r="G55" s="652"/>
      <c r="H55" s="652"/>
      <c r="I55" s="652"/>
      <c r="J55" s="652"/>
      <c r="K55" s="652"/>
      <c r="L55" s="652"/>
      <c r="M55" s="652"/>
      <c r="N55" s="652"/>
      <c r="O55" s="652"/>
      <c r="P55" s="652"/>
      <c r="Q55" s="442"/>
    </row>
    <row r="56" spans="3:17" ht="25.5" customHeight="1">
      <c r="C56" s="645"/>
      <c r="D56" s="406"/>
      <c r="E56" s="652" t="s">
        <v>100</v>
      </c>
      <c r="F56" s="652"/>
      <c r="G56" s="652"/>
      <c r="H56" s="652"/>
      <c r="I56" s="652"/>
      <c r="J56" s="652"/>
      <c r="K56" s="652"/>
      <c r="L56" s="652"/>
      <c r="M56" s="652"/>
      <c r="N56" s="652"/>
      <c r="O56" s="652"/>
      <c r="P56" s="652"/>
      <c r="Q56" s="442"/>
    </row>
    <row r="57" spans="3:17" ht="25.5" customHeight="1">
      <c r="C57" s="645"/>
      <c r="D57" s="406"/>
      <c r="E57" s="652" t="s">
        <v>101</v>
      </c>
      <c r="F57" s="652"/>
      <c r="G57" s="652"/>
      <c r="H57" s="652"/>
      <c r="I57" s="652"/>
      <c r="J57" s="652"/>
      <c r="K57" s="652"/>
      <c r="L57" s="652"/>
      <c r="M57" s="652"/>
      <c r="N57" s="652"/>
      <c r="O57" s="652"/>
      <c r="P57" s="652"/>
      <c r="Q57" s="398"/>
    </row>
    <row r="58" spans="3:17" ht="25.5" customHeight="1">
      <c r="C58" s="645"/>
      <c r="D58" s="406"/>
      <c r="E58" s="652" t="s">
        <v>102</v>
      </c>
      <c r="F58" s="652"/>
      <c r="G58" s="652"/>
      <c r="H58" s="652"/>
      <c r="I58" s="652"/>
      <c r="J58" s="652"/>
      <c r="K58" s="652"/>
      <c r="L58" s="652"/>
      <c r="M58" s="652"/>
      <c r="N58" s="652"/>
      <c r="O58" s="652"/>
      <c r="P58" s="652"/>
      <c r="Q58" s="439"/>
    </row>
    <row r="59" spans="3:17" ht="25.5" customHeight="1">
      <c r="C59" s="645"/>
      <c r="D59" s="406"/>
      <c r="E59" s="652" t="s">
        <v>103</v>
      </c>
      <c r="F59" s="652"/>
      <c r="G59" s="652"/>
      <c r="H59" s="652"/>
      <c r="I59" s="652"/>
      <c r="J59" s="652"/>
      <c r="K59" s="652"/>
      <c r="L59" s="652"/>
      <c r="M59" s="652"/>
      <c r="N59" s="652"/>
      <c r="O59" s="652"/>
      <c r="P59" s="652"/>
      <c r="Q59" s="442"/>
    </row>
    <row r="60" spans="3:17" ht="25.5" customHeight="1">
      <c r="C60" s="645"/>
      <c r="D60" s="406"/>
      <c r="E60" s="652" t="s">
        <v>104</v>
      </c>
      <c r="F60" s="652"/>
      <c r="G60" s="652"/>
      <c r="H60" s="652"/>
      <c r="I60" s="652"/>
      <c r="J60" s="652"/>
      <c r="K60" s="652"/>
      <c r="L60" s="652"/>
      <c r="M60" s="652"/>
      <c r="N60" s="652"/>
      <c r="O60" s="652"/>
      <c r="P60" s="652"/>
      <c r="Q60" s="442"/>
    </row>
    <row r="61" spans="3:17" ht="25.5" customHeight="1">
      <c r="C61" s="654"/>
      <c r="D61" s="429"/>
      <c r="E61" s="653" t="s">
        <v>105</v>
      </c>
      <c r="F61" s="653"/>
      <c r="G61" s="653"/>
      <c r="H61" s="653"/>
      <c r="I61" s="653"/>
      <c r="J61" s="653"/>
      <c r="K61" s="653"/>
      <c r="L61" s="653"/>
      <c r="M61" s="653"/>
      <c r="N61" s="653"/>
      <c r="O61" s="653"/>
      <c r="P61" s="653"/>
      <c r="Q61" s="442"/>
    </row>
    <row r="62" spans="3:17" ht="25.5" customHeight="1">
      <c r="C62" s="645" t="s">
        <v>122</v>
      </c>
      <c r="D62" s="406"/>
      <c r="E62" s="647" t="s">
        <v>63</v>
      </c>
      <c r="F62" s="647"/>
      <c r="G62" s="647"/>
      <c r="H62" s="647"/>
      <c r="I62" s="647"/>
      <c r="J62" s="647"/>
      <c r="K62" s="647"/>
      <c r="L62" s="647"/>
      <c r="M62" s="647"/>
      <c r="N62" s="647"/>
      <c r="O62" s="647"/>
      <c r="P62" s="647"/>
      <c r="Q62" s="442"/>
    </row>
    <row r="63" spans="3:17" ht="25.5" customHeight="1">
      <c r="C63" s="645"/>
      <c r="D63" s="406"/>
      <c r="E63" s="655" t="s">
        <v>64</v>
      </c>
      <c r="F63" s="655"/>
      <c r="G63" s="655"/>
      <c r="H63" s="655"/>
      <c r="I63" s="655"/>
      <c r="J63" s="655"/>
      <c r="K63" s="655"/>
      <c r="L63" s="655"/>
      <c r="M63" s="655"/>
      <c r="N63" s="655"/>
      <c r="O63" s="655"/>
      <c r="P63" s="655"/>
      <c r="Q63" s="398"/>
    </row>
    <row r="64" spans="3:17" ht="25.5" customHeight="1">
      <c r="C64" s="654"/>
      <c r="D64" s="429"/>
      <c r="E64" s="656" t="s">
        <v>65</v>
      </c>
      <c r="F64" s="656"/>
      <c r="G64" s="656"/>
      <c r="H64" s="656"/>
      <c r="I64" s="656"/>
      <c r="J64" s="656"/>
      <c r="K64" s="656"/>
      <c r="L64" s="656"/>
      <c r="M64" s="656"/>
      <c r="N64" s="656"/>
      <c r="O64" s="656"/>
      <c r="P64" s="656"/>
      <c r="Q64" s="398"/>
    </row>
    <row r="65" spans="1:18" ht="25.5" customHeight="1">
      <c r="C65" s="645" t="s">
        <v>123</v>
      </c>
      <c r="D65" s="406"/>
      <c r="E65" s="647" t="s">
        <v>66</v>
      </c>
      <c r="F65" s="647"/>
      <c r="G65" s="647"/>
      <c r="H65" s="647"/>
      <c r="I65" s="647"/>
      <c r="J65" s="647"/>
      <c r="K65" s="647"/>
      <c r="L65" s="647"/>
      <c r="M65" s="647"/>
      <c r="N65" s="647"/>
      <c r="O65" s="647"/>
      <c r="P65" s="647"/>
      <c r="Q65" s="398"/>
    </row>
    <row r="66" spans="1:18" ht="25.5" customHeight="1">
      <c r="C66" s="646"/>
      <c r="D66" s="475"/>
      <c r="E66" s="648" t="s">
        <v>67</v>
      </c>
      <c r="F66" s="648"/>
      <c r="G66" s="648"/>
      <c r="H66" s="648"/>
      <c r="I66" s="648"/>
      <c r="J66" s="648"/>
      <c r="K66" s="648"/>
      <c r="L66" s="648"/>
      <c r="M66" s="648"/>
      <c r="N66" s="648"/>
      <c r="O66" s="648"/>
      <c r="P66" s="648"/>
      <c r="Q66" s="398"/>
    </row>
    <row r="67" spans="1:18" ht="32.25" customHeight="1">
      <c r="Q67" s="398"/>
    </row>
    <row r="68" spans="1:18" ht="24.95" customHeight="1">
      <c r="C68" s="649" t="s">
        <v>183</v>
      </c>
      <c r="D68" s="650"/>
      <c r="E68" s="650"/>
      <c r="F68" s="650"/>
      <c r="G68" s="650"/>
      <c r="H68" s="650"/>
      <c r="I68" s="650"/>
      <c r="J68" s="650"/>
      <c r="K68" s="650"/>
      <c r="L68" s="650"/>
      <c r="M68" s="650"/>
      <c r="N68" s="650"/>
      <c r="O68" s="650"/>
      <c r="P68" s="650"/>
      <c r="Q68" s="398"/>
    </row>
    <row r="69" spans="1:18" ht="32.25" customHeight="1">
      <c r="C69" s="651"/>
      <c r="D69" s="651"/>
      <c r="E69" s="651"/>
      <c r="F69" s="651"/>
      <c r="G69" s="651"/>
      <c r="H69" s="651"/>
      <c r="I69" s="651"/>
      <c r="J69" s="651"/>
      <c r="K69" s="651"/>
      <c r="L69" s="651"/>
      <c r="M69" s="651"/>
      <c r="N69" s="651"/>
      <c r="O69" s="651"/>
      <c r="P69" s="651"/>
      <c r="Q69" s="398"/>
    </row>
    <row r="70" spans="1:18" ht="17.25" customHeight="1">
      <c r="C70" s="632" t="s">
        <v>68</v>
      </c>
      <c r="D70" s="632"/>
      <c r="E70" s="632"/>
      <c r="F70" s="632"/>
      <c r="G70" s="632"/>
      <c r="H70" s="632"/>
      <c r="I70" s="632"/>
      <c r="J70" s="632"/>
      <c r="K70" s="632"/>
      <c r="L70" s="632"/>
      <c r="M70" s="632"/>
      <c r="N70" s="632"/>
      <c r="O70" s="632"/>
      <c r="P70" s="632"/>
      <c r="Q70" s="398"/>
    </row>
    <row r="71" spans="1:18" ht="32.25" customHeight="1">
      <c r="Q71" s="398"/>
    </row>
    <row r="72" spans="1:18" ht="18.75" customHeight="1">
      <c r="C72" s="631" t="s">
        <v>88</v>
      </c>
      <c r="D72" s="632"/>
      <c r="E72" s="632"/>
      <c r="F72" s="632"/>
      <c r="G72" s="632"/>
      <c r="H72" s="632"/>
      <c r="I72" s="632"/>
      <c r="J72" s="632"/>
      <c r="K72" s="632"/>
      <c r="L72" s="632"/>
      <c r="M72" s="632"/>
      <c r="N72" s="632"/>
      <c r="O72" s="632"/>
      <c r="P72" s="632"/>
      <c r="Q72" s="398"/>
    </row>
    <row r="73" spans="1:18" ht="32.25" customHeight="1">
      <c r="Q73" s="398"/>
    </row>
    <row r="74" spans="1:18" s="375" customFormat="1" ht="31.5" customHeight="1">
      <c r="A74" s="373"/>
      <c r="B74" s="373"/>
      <c r="C74" s="633" t="s">
        <v>18</v>
      </c>
      <c r="D74" s="634"/>
      <c r="E74" s="634"/>
      <c r="F74" s="634"/>
      <c r="G74" s="634"/>
      <c r="H74" s="634"/>
      <c r="I74" s="635"/>
      <c r="J74" s="633" t="s">
        <v>19</v>
      </c>
      <c r="K74" s="634"/>
      <c r="L74" s="634"/>
      <c r="M74" s="634"/>
      <c r="N74" s="634"/>
      <c r="O74" s="634"/>
      <c r="P74" s="635"/>
      <c r="Q74" s="373"/>
      <c r="R74" s="373"/>
    </row>
    <row r="75" spans="1:18" s="375" customFormat="1" ht="28.5" customHeight="1">
      <c r="A75" s="373"/>
      <c r="B75" s="373"/>
      <c r="C75" s="552" t="e">
        <f>" " &amp;#REF!</f>
        <v>#REF!</v>
      </c>
      <c r="D75" s="553"/>
      <c r="E75" s="553"/>
      <c r="F75" s="553"/>
      <c r="G75" s="553"/>
      <c r="H75" s="553"/>
      <c r="I75" s="554"/>
      <c r="J75" s="636" t="s">
        <v>93</v>
      </c>
      <c r="K75" s="637"/>
      <c r="L75" s="637"/>
      <c r="M75" s="637"/>
      <c r="N75" s="637"/>
      <c r="O75" s="637"/>
      <c r="P75" s="638"/>
      <c r="Q75" s="373"/>
      <c r="R75" s="373"/>
    </row>
    <row r="76" spans="1:18" s="375" customFormat="1" ht="28.5" customHeight="1">
      <c r="A76" s="373"/>
      <c r="B76" s="373"/>
      <c r="C76" s="639" t="str">
        <f>" 주소 : "&amp;$T$4</f>
        <v xml:space="preserve"> 주소 : 대구시 수성구 범어천로66, 4층</v>
      </c>
      <c r="D76" s="640"/>
      <c r="E76" s="640"/>
      <c r="F76" s="640"/>
      <c r="G76" s="640"/>
      <c r="H76" s="640"/>
      <c r="I76" s="641"/>
      <c r="J76" s="642" t="s">
        <v>94</v>
      </c>
      <c r="K76" s="643"/>
      <c r="L76" s="643"/>
      <c r="M76" s="643"/>
      <c r="N76" s="643"/>
      <c r="O76" s="643"/>
      <c r="P76" s="644"/>
      <c r="Q76" s="373"/>
      <c r="R76" s="373"/>
    </row>
    <row r="77" spans="1:18" s="375" customFormat="1" ht="28.5" customHeight="1">
      <c r="A77" s="373"/>
      <c r="B77" s="373"/>
      <c r="C77" s="543" t="e">
        <f>C75&amp;"  대표 "&amp;$T$5</f>
        <v>#REF!</v>
      </c>
      <c r="D77" s="544"/>
      <c r="E77" s="544"/>
      <c r="F77" s="544"/>
      <c r="G77" s="544"/>
      <c r="H77" s="545" t="s">
        <v>184</v>
      </c>
      <c r="I77" s="546"/>
      <c r="J77" s="476" t="s">
        <v>95</v>
      </c>
      <c r="K77" s="630" t="e">
        <f>H4</f>
        <v>#REF!</v>
      </c>
      <c r="L77" s="630"/>
      <c r="M77" s="630"/>
      <c r="N77" s="630"/>
      <c r="O77" s="477"/>
      <c r="P77" s="478" t="s">
        <v>185</v>
      </c>
      <c r="Q77" s="373"/>
      <c r="R77" s="373"/>
    </row>
    <row r="78" spans="1:18" s="375" customFormat="1" ht="15" customHeight="1">
      <c r="A78" s="373"/>
      <c r="B78" s="373"/>
      <c r="C78" s="374"/>
      <c r="D78" s="373"/>
      <c r="E78" s="373"/>
      <c r="F78" s="373"/>
      <c r="G78" s="373"/>
      <c r="H78" s="373"/>
      <c r="I78" s="373"/>
      <c r="J78" s="373"/>
      <c r="K78" s="373"/>
      <c r="L78" s="373"/>
      <c r="M78" s="373"/>
      <c r="N78" s="373"/>
      <c r="O78" s="373"/>
      <c r="P78" s="373"/>
      <c r="Q78" s="373"/>
      <c r="R78" s="373"/>
    </row>
    <row r="79" spans="1:18" ht="16.5" customHeight="1"/>
    <row r="80" spans="1:18" ht="57" customHeight="1">
      <c r="A80" s="376">
        <f>A2+1</f>
        <v>2</v>
      </c>
      <c r="C80" s="724" t="s">
        <v>54</v>
      </c>
      <c r="D80" s="724"/>
      <c r="E80" s="724"/>
      <c r="F80" s="724"/>
      <c r="G80" s="724"/>
      <c r="H80" s="724"/>
      <c r="I80" s="724"/>
      <c r="J80" s="724"/>
      <c r="K80" s="724"/>
      <c r="L80" s="724"/>
      <c r="M80" s="724"/>
      <c r="N80" s="724"/>
      <c r="O80" s="724"/>
      <c r="P80" s="724"/>
      <c r="Q80" s="377"/>
    </row>
    <row r="81" spans="3:19" ht="15" customHeight="1">
      <c r="C81" s="382"/>
      <c r="D81" s="383"/>
    </row>
    <row r="82" spans="3:19" ht="25.5" customHeight="1">
      <c r="C82" s="725" t="e">
        <f>#REF! &amp; " 대표와 근로자 ["</f>
        <v>#REF!</v>
      </c>
      <c r="D82" s="725"/>
      <c r="E82" s="725"/>
      <c r="F82" s="725"/>
      <c r="G82" s="725"/>
      <c r="H82" s="726" t="e">
        <f>_xlfn.XLOOKUP(A80,#REF!,#REF!)</f>
        <v>#REF!</v>
      </c>
      <c r="I82" s="726"/>
      <c r="J82" s="726"/>
      <c r="K82" s="727" t="s">
        <v>55</v>
      </c>
      <c r="L82" s="727"/>
      <c r="M82" s="727"/>
      <c r="N82" s="727"/>
      <c r="O82" s="727"/>
      <c r="P82" s="727"/>
      <c r="Q82" s="384"/>
      <c r="R82" s="385" t="e">
        <f>_xlfn.XLOOKUP(A80,#REF!,#REF!)</f>
        <v>#REF!</v>
      </c>
      <c r="S82" s="386"/>
    </row>
    <row r="83" spans="3:19" ht="25.5" customHeight="1">
      <c r="C83" s="728" t="s">
        <v>56</v>
      </c>
      <c r="D83" s="728"/>
      <c r="E83" s="728"/>
      <c r="F83" s="728"/>
      <c r="G83" s="728"/>
      <c r="H83" s="728"/>
      <c r="I83" s="728"/>
      <c r="J83" s="728"/>
      <c r="K83" s="728"/>
      <c r="L83" s="728"/>
      <c r="M83" s="728"/>
      <c r="N83" s="728"/>
      <c r="O83" s="728"/>
      <c r="P83" s="728"/>
      <c r="Q83" s="388"/>
      <c r="S83" s="386"/>
    </row>
    <row r="84" spans="3:19" ht="25.5" customHeight="1">
      <c r="C84" s="731" t="s">
        <v>76</v>
      </c>
      <c r="D84" s="396"/>
      <c r="E84" s="397" t="s">
        <v>57</v>
      </c>
      <c r="F84" s="732" t="e">
        <f>#REF! &amp; "의 사업장 및 영업에 관한 장소"</f>
        <v>#REF!</v>
      </c>
      <c r="G84" s="732"/>
      <c r="H84" s="732"/>
      <c r="I84" s="732"/>
      <c r="J84" s="732"/>
      <c r="K84" s="732"/>
      <c r="L84" s="732"/>
      <c r="M84" s="732"/>
      <c r="N84" s="732"/>
      <c r="O84" s="732"/>
      <c r="P84" s="732"/>
      <c r="Q84" s="398"/>
      <c r="S84" s="386"/>
    </row>
    <row r="85" spans="3:19" ht="25.5" customHeight="1">
      <c r="C85" s="645"/>
      <c r="D85" s="406"/>
      <c r="E85" s="407" t="s">
        <v>58</v>
      </c>
      <c r="F85" s="407"/>
      <c r="G85" s="655"/>
      <c r="H85" s="655"/>
      <c r="I85" s="655"/>
      <c r="J85" s="655"/>
      <c r="K85" s="655"/>
      <c r="L85" s="655"/>
      <c r="M85" s="655"/>
      <c r="N85" s="655"/>
      <c r="O85" s="655"/>
      <c r="P85" s="655"/>
      <c r="Q85" s="398"/>
      <c r="S85" s="386"/>
    </row>
    <row r="86" spans="3:19" ht="25.5" customHeight="1">
      <c r="C86" s="654"/>
      <c r="D86" s="408"/>
      <c r="E86" s="656" t="s">
        <v>59</v>
      </c>
      <c r="F86" s="656"/>
      <c r="G86" s="656"/>
      <c r="H86" s="656"/>
      <c r="I86" s="656"/>
      <c r="J86" s="656"/>
      <c r="K86" s="656"/>
      <c r="L86" s="656"/>
      <c r="M86" s="656"/>
      <c r="N86" s="656"/>
      <c r="O86" s="656"/>
      <c r="P86" s="656"/>
      <c r="Q86" s="398"/>
      <c r="S86" s="386"/>
    </row>
    <row r="87" spans="3:19" ht="25.5" customHeight="1">
      <c r="C87" s="657" t="s">
        <v>60</v>
      </c>
      <c r="D87" s="412"/>
      <c r="E87" s="136" t="s">
        <v>125</v>
      </c>
      <c r="F87" s="741" t="e">
        <f>_xlfn.XLOOKUP(H82,#REF!,#REF!)</f>
        <v>#REF!</v>
      </c>
      <c r="G87" s="741"/>
      <c r="H87" s="741"/>
      <c r="I87" s="741"/>
      <c r="J87" s="413"/>
      <c r="K87" s="722"/>
      <c r="L87" s="722"/>
      <c r="M87" s="414"/>
      <c r="N87" s="414"/>
      <c r="O87" s="414"/>
      <c r="P87" s="414"/>
      <c r="Q87" s="398"/>
      <c r="S87" s="386"/>
    </row>
    <row r="88" spans="3:19" ht="25.5" customHeight="1">
      <c r="C88" s="645"/>
      <c r="D88" s="406"/>
      <c r="E88" s="420" t="s">
        <v>124</v>
      </c>
      <c r="F88" s="723" t="s">
        <v>175</v>
      </c>
      <c r="G88" s="723"/>
      <c r="H88" s="723"/>
      <c r="I88" s="723"/>
      <c r="J88" s="670" t="s">
        <v>176</v>
      </c>
      <c r="K88" s="670"/>
      <c r="L88" s="670"/>
      <c r="M88" s="670"/>
      <c r="N88" s="670"/>
      <c r="O88" s="670"/>
      <c r="P88" s="670"/>
      <c r="Q88" s="398"/>
      <c r="S88" s="386"/>
    </row>
    <row r="89" spans="3:19" ht="25.5" customHeight="1">
      <c r="C89" s="654"/>
      <c r="D89" s="429"/>
      <c r="E89" s="664" t="s">
        <v>126</v>
      </c>
      <c r="F89" s="664"/>
      <c r="G89" s="664"/>
      <c r="H89" s="664"/>
      <c r="I89" s="664"/>
      <c r="J89" s="664"/>
      <c r="K89" s="664"/>
      <c r="L89" s="664"/>
      <c r="M89" s="664"/>
      <c r="N89" s="430"/>
      <c r="O89" s="430"/>
      <c r="P89" s="431"/>
      <c r="Q89" s="420"/>
      <c r="S89" s="479"/>
    </row>
    <row r="90" spans="3:19" ht="25.5" customHeight="1">
      <c r="C90" s="645" t="s">
        <v>75</v>
      </c>
      <c r="D90" s="406"/>
      <c r="E90" s="369" t="s">
        <v>177</v>
      </c>
      <c r="F90" s="483" t="e">
        <f>_xlfn.XLOOKUP(R82,#REF!,#REF!)</f>
        <v>#REF!</v>
      </c>
      <c r="G90" s="708" t="s">
        <v>178</v>
      </c>
      <c r="H90" s="708"/>
      <c r="I90" s="708"/>
      <c r="J90" s="708"/>
      <c r="K90" s="708"/>
      <c r="L90" s="708"/>
      <c r="M90" s="708"/>
      <c r="N90" s="708"/>
      <c r="O90" s="708"/>
      <c r="P90" s="708"/>
      <c r="Q90" s="398"/>
      <c r="S90" s="386"/>
    </row>
    <row r="91" spans="3:19" ht="25.5" customHeight="1">
      <c r="C91" s="645"/>
      <c r="D91" s="406"/>
      <c r="E91" s="709" t="s">
        <v>73</v>
      </c>
      <c r="F91" s="710"/>
      <c r="G91" s="711"/>
      <c r="H91" s="712" t="s">
        <v>61</v>
      </c>
      <c r="I91" s="713"/>
      <c r="J91" s="714"/>
      <c r="K91" s="715" t="s">
        <v>17</v>
      </c>
      <c r="L91" s="716"/>
      <c r="M91" s="716"/>
      <c r="N91" s="717"/>
      <c r="O91" s="600" t="e">
        <f>IF(_xlfn.XLOOKUP(R82,#REF!,#REF!)&gt;=40,"비고 ","근로일별 근로시간")</f>
        <v>#REF!</v>
      </c>
      <c r="P91" s="600"/>
      <c r="Q91" s="439"/>
      <c r="S91" s="386"/>
    </row>
    <row r="92" spans="3:19" ht="25.5" customHeight="1">
      <c r="C92" s="645"/>
      <c r="D92" s="441"/>
      <c r="E92" s="601" t="s">
        <v>143</v>
      </c>
      <c r="F92" s="602"/>
      <c r="G92" s="603"/>
      <c r="H92" s="372" t="e">
        <f>_xlfn.XLOOKUP(A80,#REF!,#REF!)</f>
        <v>#REF!</v>
      </c>
      <c r="I92" s="370" t="e">
        <f>_xlfn.XLOOKUP(A80,#REF!,#REF!)</f>
        <v>#REF!</v>
      </c>
      <c r="J92" s="371" t="e">
        <f>_xlfn.XLOOKUP(A80,#REF!,#REF!)</f>
        <v>#REF!</v>
      </c>
      <c r="K92" s="604" t="e">
        <f>_xlfn.XLOOKUP(A80,#REF!,#REF!)</f>
        <v>#REF!</v>
      </c>
      <c r="L92" s="605"/>
      <c r="M92" s="605"/>
      <c r="N92" s="606"/>
      <c r="O92" s="607" t="e">
        <f>IF(E92="","",IF(_xlfn.XLOOKUP(R82,#REF!,#REF!)&gt;=40,"",INDEX(#REF!,MATCH(R82,#REF!,0))&amp;"시간"))</f>
        <v>#REF!</v>
      </c>
      <c r="P92" s="608"/>
      <c r="Q92" s="442"/>
      <c r="R92" s="373" t="s">
        <v>218</v>
      </c>
      <c r="S92" s="386"/>
    </row>
    <row r="93" spans="3:19" ht="25.5" customHeight="1">
      <c r="C93" s="645"/>
      <c r="D93" s="441"/>
      <c r="E93" s="601" t="s">
        <v>144</v>
      </c>
      <c r="F93" s="602"/>
      <c r="G93" s="603"/>
      <c r="H93" s="372" t="e">
        <f>_xlfn.XLOOKUP(A80,#REF!,#REF!)</f>
        <v>#REF!</v>
      </c>
      <c r="I93" s="370" t="e">
        <f>_xlfn.XLOOKUP(A80,#REF!,#REF!)</f>
        <v>#REF!</v>
      </c>
      <c r="J93" s="371" t="e">
        <f>_xlfn.XLOOKUP(A80,#REF!,#REF!)</f>
        <v>#REF!</v>
      </c>
      <c r="K93" s="604" t="e">
        <f>_xlfn.XLOOKUP(A80,#REF!,#REF!)</f>
        <v>#REF!</v>
      </c>
      <c r="L93" s="605"/>
      <c r="M93" s="605"/>
      <c r="N93" s="606"/>
      <c r="O93" s="607" t="e">
        <f>IF(E93="","",IF(_xlfn.XLOOKUP(R82,#REF!,#REF!)&gt;=40,"",INDEX(#REF!,MATCH(R82,#REF!,0))&amp;"시간"))</f>
        <v>#REF!</v>
      </c>
      <c r="P93" s="608"/>
      <c r="Q93" s="442"/>
      <c r="S93" s="386"/>
    </row>
    <row r="94" spans="3:19" ht="25.5" customHeight="1">
      <c r="C94" s="645"/>
      <c r="D94" s="441"/>
      <c r="E94" s="601"/>
      <c r="F94" s="602"/>
      <c r="G94" s="603"/>
      <c r="H94" s="604"/>
      <c r="I94" s="605"/>
      <c r="J94" s="606"/>
      <c r="K94" s="604"/>
      <c r="L94" s="605"/>
      <c r="M94" s="605"/>
      <c r="N94" s="606"/>
      <c r="O94" s="607" t="str">
        <f>IF(E94="","",IF(_xlfn.XLOOKUP(R82,#REF!,#REF!)&gt;=40,"",INDEX(#REF!,MATCH(R82,#REF!,0))&amp;"시간"))</f>
        <v/>
      </c>
      <c r="P94" s="608"/>
      <c r="Q94" s="442"/>
      <c r="S94" s="386"/>
    </row>
    <row r="95" spans="3:19" ht="25.5" customHeight="1">
      <c r="C95" s="645"/>
      <c r="D95" s="441"/>
      <c r="E95" s="609" t="s">
        <v>192</v>
      </c>
      <c r="F95" s="609"/>
      <c r="G95" s="609"/>
      <c r="H95" s="609"/>
      <c r="I95" s="609"/>
      <c r="J95" s="609"/>
      <c r="K95" s="609"/>
      <c r="L95" s="609"/>
      <c r="M95" s="609"/>
      <c r="N95" s="609"/>
      <c r="O95" s="609"/>
      <c r="P95" s="609"/>
      <c r="Q95" s="420"/>
      <c r="S95" s="373"/>
    </row>
    <row r="96" spans="3:19" ht="25.5" customHeight="1">
      <c r="C96" s="645"/>
      <c r="D96" s="441"/>
      <c r="E96" s="361"/>
      <c r="F96" s="361"/>
      <c r="G96" s="361"/>
      <c r="H96" s="361"/>
      <c r="I96" s="361"/>
      <c r="J96" s="685" t="s">
        <v>179</v>
      </c>
      <c r="K96" s="685"/>
      <c r="L96" s="685"/>
      <c r="M96" s="685"/>
      <c r="N96" s="685"/>
      <c r="O96" s="685"/>
      <c r="P96" s="685"/>
      <c r="Q96" s="420"/>
      <c r="S96" s="373"/>
    </row>
    <row r="97" spans="1:28" ht="25.5" customHeight="1">
      <c r="C97" s="645"/>
      <c r="D97" s="441"/>
      <c r="E97" s="420" t="s">
        <v>194</v>
      </c>
      <c r="F97" s="420"/>
      <c r="G97" s="420"/>
      <c r="H97" s="420"/>
      <c r="I97" s="420"/>
      <c r="J97" s="420"/>
      <c r="K97" s="420"/>
      <c r="L97" s="420"/>
      <c r="M97" s="420"/>
      <c r="N97" s="420"/>
      <c r="O97" s="420"/>
      <c r="P97" s="420"/>
      <c r="Q97" s="420"/>
      <c r="S97" s="373"/>
    </row>
    <row r="98" spans="1:28" ht="25.5" customHeight="1" thickBot="1">
      <c r="C98" s="645"/>
      <c r="D98" s="441"/>
      <c r="E98" s="707" t="s">
        <v>127</v>
      </c>
      <c r="F98" s="707"/>
      <c r="G98" s="707"/>
      <c r="H98" s="707"/>
      <c r="I98" s="707"/>
      <c r="J98" s="707"/>
      <c r="K98" s="707"/>
      <c r="L98" s="707"/>
      <c r="M98" s="707"/>
      <c r="N98" s="707"/>
      <c r="O98" s="707"/>
      <c r="P98" s="707"/>
      <c r="Q98" s="443"/>
      <c r="S98" s="373"/>
    </row>
    <row r="99" spans="1:28" ht="25.5" customHeight="1">
      <c r="C99" s="654"/>
      <c r="D99" s="444"/>
      <c r="E99" s="445"/>
      <c r="F99" s="445"/>
      <c r="G99" s="446"/>
      <c r="H99" s="446"/>
      <c r="I99" s="446"/>
      <c r="J99" s="685" t="s">
        <v>179</v>
      </c>
      <c r="K99" s="685"/>
      <c r="L99" s="685"/>
      <c r="M99" s="685"/>
      <c r="N99" s="685"/>
      <c r="O99" s="685"/>
      <c r="P99" s="685"/>
      <c r="Q99" s="398"/>
      <c r="R99" s="485" t="s">
        <v>242</v>
      </c>
      <c r="S99" s="373"/>
    </row>
    <row r="100" spans="1:28" ht="25.5" customHeight="1" thickBot="1">
      <c r="C100" s="657" t="s">
        <v>62</v>
      </c>
      <c r="D100" s="406"/>
      <c r="E100" s="592" t="str">
        <f>"1) 신규입사자의 경우 최초입사일부터     "&amp;IF(R100&lt;=0,"",R100)&amp;" 개월간은 수습기간을 적용하기로 한다. ("</f>
        <v>1) 신규입사자의 경우 최초입사일부터      개월간은 수습기간을 적용하기로 한다. (</v>
      </c>
      <c r="F100" s="592"/>
      <c r="G100" s="592"/>
      <c r="H100" s="592"/>
      <c r="I100" s="592"/>
      <c r="J100" s="592"/>
      <c r="K100" s="592"/>
      <c r="L100" s="593" t="str">
        <f>IF(R100&lt;=0,"",F87)</f>
        <v/>
      </c>
      <c r="M100" s="593"/>
      <c r="N100" s="593"/>
      <c r="O100" s="484" t="s">
        <v>240</v>
      </c>
      <c r="P100" s="487" t="str">
        <f>IF(R100&lt;=0,"",DATE(YEAR(L100),MONTH(L100)+R100,DAY(L100)-1))</f>
        <v/>
      </c>
      <c r="Q100" s="226" t="s">
        <v>241</v>
      </c>
      <c r="R100" s="486">
        <v>0</v>
      </c>
      <c r="S100" s="373"/>
    </row>
    <row r="101" spans="1:28" ht="25.5" customHeight="1">
      <c r="C101" s="645"/>
      <c r="D101" s="406"/>
      <c r="E101" s="681" t="s">
        <v>111</v>
      </c>
      <c r="F101" s="681"/>
      <c r="G101" s="681"/>
      <c r="H101" s="681"/>
      <c r="I101" s="681"/>
      <c r="J101" s="681"/>
      <c r="K101" s="681"/>
      <c r="L101" s="681"/>
      <c r="M101" s="681"/>
      <c r="N101" s="681"/>
      <c r="O101" s="681"/>
      <c r="P101" s="681"/>
      <c r="Q101" s="447"/>
      <c r="S101" s="373"/>
    </row>
    <row r="102" spans="1:28" ht="25.5" customHeight="1">
      <c r="C102" s="645"/>
      <c r="D102" s="406"/>
      <c r="E102" s="682" t="s">
        <v>90</v>
      </c>
      <c r="F102" s="682"/>
      <c r="G102" s="682"/>
      <c r="H102" s="682"/>
      <c r="I102" s="682"/>
      <c r="J102" s="682"/>
      <c r="K102" s="682"/>
      <c r="L102" s="682"/>
      <c r="M102" s="682"/>
      <c r="N102" s="682"/>
      <c r="O102" s="682"/>
      <c r="P102" s="682"/>
      <c r="Q102" s="448"/>
      <c r="S102" s="480"/>
    </row>
    <row r="103" spans="1:28" ht="25.5" customHeight="1">
      <c r="C103" s="645"/>
      <c r="D103" s="406"/>
      <c r="E103" s="683" t="s">
        <v>212</v>
      </c>
      <c r="F103" s="683"/>
      <c r="G103" s="683"/>
      <c r="H103" s="683"/>
      <c r="I103" s="683"/>
      <c r="J103" s="683"/>
      <c r="K103" s="683"/>
      <c r="L103" s="683"/>
      <c r="M103" s="683"/>
      <c r="N103" s="683"/>
      <c r="O103" s="683"/>
      <c r="P103" s="683"/>
      <c r="Q103" s="448"/>
    </row>
    <row r="104" spans="1:28" ht="25.5" customHeight="1">
      <c r="C104" s="645"/>
      <c r="D104" s="406"/>
      <c r="E104" s="683" t="s">
        <v>217</v>
      </c>
      <c r="F104" s="683"/>
      <c r="G104" s="683"/>
      <c r="H104" s="683"/>
      <c r="I104" s="683"/>
      <c r="J104" s="683"/>
      <c r="K104" s="683"/>
      <c r="L104" s="683"/>
      <c r="M104" s="683"/>
      <c r="N104" s="683"/>
      <c r="O104" s="683"/>
      <c r="P104" s="683"/>
      <c r="Q104" s="448"/>
    </row>
    <row r="105" spans="1:28" ht="25.5" customHeight="1">
      <c r="C105" s="654"/>
      <c r="D105" s="429"/>
      <c r="E105" s="684" t="s">
        <v>213</v>
      </c>
      <c r="F105" s="684"/>
      <c r="G105" s="684"/>
      <c r="H105" s="684"/>
      <c r="I105" s="684"/>
      <c r="J105" s="685" t="s">
        <v>179</v>
      </c>
      <c r="K105" s="685"/>
      <c r="L105" s="685"/>
      <c r="M105" s="685"/>
      <c r="N105" s="685"/>
      <c r="O105" s="685"/>
      <c r="P105" s="685"/>
      <c r="Q105" s="448"/>
    </row>
    <row r="106" spans="1:28" ht="25.5" customHeight="1">
      <c r="C106" s="657" t="s">
        <v>71</v>
      </c>
      <c r="D106" s="456"/>
      <c r="E106" s="458" t="s">
        <v>211</v>
      </c>
      <c r="F106" s="702"/>
      <c r="G106" s="702"/>
      <c r="H106" s="702"/>
      <c r="I106" s="737" t="s">
        <v>180</v>
      </c>
      <c r="J106" s="737"/>
      <c r="K106" s="702"/>
      <c r="L106" s="702"/>
      <c r="M106" s="458"/>
      <c r="N106" s="458"/>
      <c r="O106" s="458"/>
      <c r="P106" s="459"/>
      <c r="Q106" s="448"/>
      <c r="S106" s="448"/>
    </row>
    <row r="107" spans="1:28" ht="25.5" customHeight="1">
      <c r="C107" s="645"/>
      <c r="D107" s="406"/>
      <c r="E107" s="670" t="s">
        <v>203</v>
      </c>
      <c r="F107" s="670"/>
      <c r="G107" s="670"/>
      <c r="H107" s="670"/>
      <c r="I107" s="670"/>
      <c r="J107" s="670"/>
      <c r="K107" s="670"/>
      <c r="L107" s="670"/>
      <c r="M107" s="670"/>
      <c r="N107" s="670"/>
      <c r="O107" s="670"/>
      <c r="P107" s="670"/>
      <c r="Q107" s="448"/>
      <c r="S107" s="460"/>
    </row>
    <row r="108" spans="1:28" ht="25.5" customHeight="1">
      <c r="C108" s="645"/>
      <c r="D108" s="406"/>
      <c r="E108" s="613" t="s">
        <v>204</v>
      </c>
      <c r="F108" s="613"/>
      <c r="G108" s="613"/>
      <c r="H108" s="613"/>
      <c r="I108" s="613"/>
      <c r="J108" s="613"/>
      <c r="K108" s="613"/>
      <c r="L108" s="613"/>
      <c r="M108" s="613"/>
      <c r="N108" s="613"/>
      <c r="O108" s="613"/>
      <c r="P108" s="613"/>
      <c r="Q108" s="481"/>
      <c r="S108" s="481"/>
    </row>
    <row r="109" spans="1:28" ht="25.5" customHeight="1">
      <c r="C109" s="645"/>
      <c r="D109" s="406"/>
      <c r="E109" s="738" t="s">
        <v>214</v>
      </c>
      <c r="F109" s="738"/>
      <c r="G109" s="738"/>
      <c r="H109" s="738"/>
      <c r="I109" s="738"/>
      <c r="J109" s="738"/>
      <c r="K109" s="738"/>
      <c r="L109" s="738"/>
      <c r="M109" s="738"/>
      <c r="N109" s="738"/>
      <c r="O109" s="738"/>
      <c r="P109" s="738"/>
      <c r="Q109" s="398"/>
      <c r="R109" s="463"/>
      <c r="S109" s="398"/>
    </row>
    <row r="110" spans="1:28" ht="25.5" customHeight="1">
      <c r="C110" s="645"/>
      <c r="D110" s="406"/>
      <c r="E110" s="739" t="s">
        <v>215</v>
      </c>
      <c r="F110" s="739"/>
      <c r="G110" s="739"/>
      <c r="H110" s="739"/>
      <c r="I110" s="739"/>
      <c r="J110" s="739"/>
      <c r="K110" s="739"/>
      <c r="L110" s="739"/>
      <c r="M110" s="739"/>
      <c r="N110" s="739"/>
      <c r="O110" s="739"/>
      <c r="P110" s="739"/>
      <c r="Q110" s="439"/>
      <c r="S110" s="439"/>
    </row>
    <row r="111" spans="1:28" s="375" customFormat="1" ht="25.5" customHeight="1">
      <c r="A111" s="373"/>
      <c r="B111" s="373"/>
      <c r="C111" s="645"/>
      <c r="D111" s="406"/>
      <c r="E111" s="548" t="e">
        <f>"5) 매월 1일～말일까지 근로에 대한 임금은 익월  "&amp;DAY(#REF!)&amp;" 일에 본인계좌로 입금 지급한다."</f>
        <v>#REF!</v>
      </c>
      <c r="F111" s="548"/>
      <c r="G111" s="548"/>
      <c r="H111" s="548"/>
      <c r="I111" s="548"/>
      <c r="J111" s="548"/>
      <c r="K111" s="548"/>
      <c r="L111" s="548"/>
      <c r="M111" s="548"/>
      <c r="N111" s="548"/>
      <c r="O111" s="548"/>
      <c r="P111" s="548"/>
      <c r="Q111" s="442"/>
      <c r="R111" s="373"/>
      <c r="S111" s="442"/>
      <c r="T111" s="373"/>
      <c r="Y111" s="373"/>
      <c r="Z111" s="373"/>
      <c r="AA111" s="373"/>
      <c r="AB111" s="373"/>
    </row>
    <row r="112" spans="1:28" s="375" customFormat="1" ht="25.5" customHeight="1">
      <c r="A112" s="373"/>
      <c r="B112" s="373"/>
      <c r="C112" s="645"/>
      <c r="D112" s="406"/>
      <c r="E112" s="561" t="s">
        <v>216</v>
      </c>
      <c r="F112" s="561"/>
      <c r="G112" s="561"/>
      <c r="H112" s="561"/>
      <c r="I112" s="561"/>
      <c r="J112" s="561"/>
      <c r="K112" s="561"/>
      <c r="L112" s="561"/>
      <c r="M112" s="561"/>
      <c r="N112" s="561"/>
      <c r="O112" s="561"/>
      <c r="P112" s="561"/>
      <c r="Q112" s="442"/>
      <c r="R112" s="373"/>
      <c r="S112" s="442"/>
      <c r="T112" s="373"/>
      <c r="V112" s="482"/>
      <c r="Y112" s="373"/>
      <c r="Z112" s="373"/>
      <c r="AA112" s="373"/>
      <c r="AB112" s="373"/>
    </row>
    <row r="113" spans="1:28" s="375" customFormat="1" ht="25.5" customHeight="1">
      <c r="A113" s="373"/>
      <c r="B113" s="373"/>
      <c r="C113" s="654"/>
      <c r="D113" s="429"/>
      <c r="E113" s="740" t="s">
        <v>106</v>
      </c>
      <c r="F113" s="740"/>
      <c r="G113" s="740"/>
      <c r="H113" s="740"/>
      <c r="I113" s="740"/>
      <c r="J113" s="740"/>
      <c r="K113" s="740"/>
      <c r="L113" s="740"/>
      <c r="M113" s="740"/>
      <c r="N113" s="740"/>
      <c r="O113" s="740"/>
      <c r="P113" s="740"/>
      <c r="Q113" s="442"/>
      <c r="R113" s="373"/>
      <c r="S113" s="442"/>
      <c r="T113" s="373"/>
      <c r="V113" s="482"/>
      <c r="Y113" s="373"/>
      <c r="Z113" s="373"/>
      <c r="AA113" s="373"/>
      <c r="AB113" s="373"/>
    </row>
    <row r="114" spans="1:28" s="375" customFormat="1" ht="25.5" customHeight="1">
      <c r="A114" s="373"/>
      <c r="B114" s="373"/>
      <c r="C114" s="657" t="s">
        <v>72</v>
      </c>
      <c r="D114" s="412"/>
      <c r="E114" s="735" t="s">
        <v>109</v>
      </c>
      <c r="F114" s="735"/>
      <c r="G114" s="735"/>
      <c r="H114" s="735"/>
      <c r="I114" s="735"/>
      <c r="J114" s="735"/>
      <c r="K114" s="735"/>
      <c r="L114" s="735"/>
      <c r="M114" s="735"/>
      <c r="N114" s="735"/>
      <c r="O114" s="735"/>
      <c r="P114" s="735"/>
      <c r="Q114" s="398"/>
      <c r="R114" s="373"/>
      <c r="T114" s="373"/>
      <c r="Y114" s="373"/>
      <c r="Z114" s="373"/>
      <c r="AA114" s="373"/>
      <c r="AB114" s="373"/>
    </row>
    <row r="115" spans="1:28" s="375" customFormat="1" ht="25.5" customHeight="1">
      <c r="A115" s="373"/>
      <c r="B115" s="373"/>
      <c r="C115" s="645"/>
      <c r="D115" s="406"/>
      <c r="E115" s="670" t="s">
        <v>193</v>
      </c>
      <c r="F115" s="670"/>
      <c r="G115" s="670"/>
      <c r="H115" s="670"/>
      <c r="I115" s="670"/>
      <c r="J115" s="670"/>
      <c r="K115" s="670"/>
      <c r="L115" s="670"/>
      <c r="M115" s="670"/>
      <c r="N115" s="670"/>
      <c r="O115" s="670"/>
      <c r="P115" s="670"/>
      <c r="Q115" s="398"/>
      <c r="R115" s="373"/>
      <c r="T115" s="373"/>
      <c r="Y115" s="373"/>
      <c r="Z115" s="373"/>
      <c r="AA115" s="373"/>
      <c r="AB115" s="373"/>
    </row>
    <row r="116" spans="1:28" s="375" customFormat="1" ht="25.5" customHeight="1">
      <c r="A116" s="373"/>
      <c r="B116" s="373"/>
      <c r="C116" s="645"/>
      <c r="D116" s="406"/>
      <c r="E116" s="655" t="s">
        <v>85</v>
      </c>
      <c r="F116" s="655"/>
      <c r="G116" s="655"/>
      <c r="H116" s="655"/>
      <c r="I116" s="655"/>
      <c r="J116" s="655"/>
      <c r="K116" s="655"/>
      <c r="L116" s="655"/>
      <c r="M116" s="655"/>
      <c r="N116" s="655"/>
      <c r="O116" s="655"/>
      <c r="P116" s="655"/>
      <c r="Q116" s="398"/>
      <c r="R116" s="373"/>
      <c r="T116" s="373"/>
      <c r="Y116" s="373"/>
      <c r="Z116" s="373"/>
      <c r="AA116" s="373"/>
      <c r="AB116" s="373"/>
    </row>
    <row r="117" spans="1:28" s="375" customFormat="1" ht="25.5" customHeight="1">
      <c r="A117" s="373"/>
      <c r="B117" s="373"/>
      <c r="C117" s="699"/>
      <c r="D117" s="464"/>
      <c r="E117" s="736" t="s">
        <v>74</v>
      </c>
      <c r="F117" s="736"/>
      <c r="G117" s="736"/>
      <c r="H117" s="736"/>
      <c r="I117" s="736"/>
      <c r="J117" s="736"/>
      <c r="K117" s="736"/>
      <c r="L117" s="736"/>
      <c r="M117" s="736"/>
      <c r="N117" s="736"/>
      <c r="O117" s="736"/>
      <c r="P117" s="736"/>
      <c r="Q117" s="398"/>
      <c r="R117" s="373"/>
      <c r="T117" s="373"/>
      <c r="Y117" s="373"/>
      <c r="Z117" s="373"/>
      <c r="AA117" s="373"/>
      <c r="AB117" s="373"/>
    </row>
    <row r="118" spans="1:28" ht="25.5" customHeight="1">
      <c r="C118" s="660" t="s">
        <v>114</v>
      </c>
      <c r="D118" s="469"/>
      <c r="E118" s="233" t="e">
        <f>"1) 유급휴일 : ①주휴일("&amp;_xlfn.XLOOKUP(H82,#REF!,#REF!)&amp;", 1주간의 소정근로일을 개근한 경우에 유급), ②근로자의 날(5/1), ③관공서 공휴일 및 대체공휴일"</f>
        <v>#REF!</v>
      </c>
      <c r="F118" s="470"/>
      <c r="G118" s="470"/>
      <c r="H118" s="470"/>
      <c r="I118" s="470"/>
      <c r="J118" s="470"/>
      <c r="K118" s="470"/>
      <c r="L118" s="470"/>
      <c r="M118" s="470"/>
      <c r="N118" s="470"/>
      <c r="O118" s="470"/>
      <c r="P118" s="470"/>
      <c r="Q118" s="471"/>
      <c r="S118" s="472"/>
    </row>
    <row r="119" spans="1:28" ht="25.5" customHeight="1">
      <c r="C119" s="645"/>
      <c r="E119" s="662" t="s">
        <v>117</v>
      </c>
      <c r="F119" s="662"/>
      <c r="G119" s="662"/>
      <c r="H119" s="662"/>
      <c r="I119" s="662"/>
      <c r="J119" s="662"/>
      <c r="K119" s="662"/>
      <c r="L119" s="662"/>
      <c r="M119" s="662"/>
      <c r="N119" s="662"/>
      <c r="O119" s="662"/>
      <c r="P119" s="662"/>
      <c r="Q119" s="398"/>
      <c r="S119" s="473"/>
    </row>
    <row r="120" spans="1:28" ht="25.5" customHeight="1">
      <c r="C120" s="645"/>
      <c r="E120" s="662" t="s">
        <v>115</v>
      </c>
      <c r="F120" s="662"/>
      <c r="G120" s="662"/>
      <c r="H120" s="662"/>
      <c r="I120" s="662"/>
      <c r="J120" s="662"/>
      <c r="K120" s="662"/>
      <c r="L120" s="662"/>
      <c r="M120" s="662"/>
      <c r="N120" s="662"/>
      <c r="O120" s="662"/>
      <c r="P120" s="662"/>
      <c r="Q120" s="398"/>
    </row>
    <row r="121" spans="1:28" ht="25.5" customHeight="1">
      <c r="C121" s="661"/>
      <c r="D121" s="474"/>
      <c r="E121" s="663" t="s">
        <v>116</v>
      </c>
      <c r="F121" s="663"/>
      <c r="G121" s="663"/>
      <c r="H121" s="663"/>
      <c r="I121" s="663"/>
      <c r="J121" s="663"/>
      <c r="K121" s="663"/>
      <c r="L121" s="663"/>
      <c r="M121" s="663"/>
      <c r="N121" s="663"/>
      <c r="O121" s="663"/>
      <c r="P121" s="663"/>
      <c r="Q121" s="398"/>
    </row>
    <row r="122" spans="1:28" ht="25.5" customHeight="1">
      <c r="C122" s="645" t="s">
        <v>113</v>
      </c>
      <c r="E122" s="594" t="s">
        <v>118</v>
      </c>
      <c r="F122" s="594"/>
      <c r="G122" s="594"/>
      <c r="H122" s="594"/>
      <c r="I122" s="594"/>
      <c r="J122" s="594"/>
      <c r="K122" s="594"/>
      <c r="L122" s="594"/>
      <c r="M122" s="594"/>
      <c r="N122" s="594"/>
      <c r="O122" s="594"/>
      <c r="P122" s="594"/>
      <c r="Q122" s="398"/>
      <c r="S122" s="472"/>
    </row>
    <row r="123" spans="1:28" ht="25.5" customHeight="1">
      <c r="C123" s="645"/>
      <c r="E123" s="595" t="s">
        <v>107</v>
      </c>
      <c r="F123" s="595"/>
      <c r="G123" s="595"/>
      <c r="H123" s="595"/>
      <c r="I123" s="595"/>
      <c r="J123" s="595"/>
      <c r="K123" s="595"/>
      <c r="L123" s="595"/>
      <c r="M123" s="595"/>
      <c r="N123" s="595"/>
      <c r="O123" s="595"/>
      <c r="P123" s="595"/>
      <c r="Q123" s="398"/>
    </row>
    <row r="124" spans="1:28" ht="25.5" customHeight="1">
      <c r="C124" s="645"/>
      <c r="E124" s="595" t="s">
        <v>119</v>
      </c>
      <c r="F124" s="595"/>
      <c r="G124" s="595"/>
      <c r="H124" s="595"/>
      <c r="I124" s="595"/>
      <c r="J124" s="595"/>
      <c r="K124" s="595"/>
      <c r="L124" s="595"/>
      <c r="M124" s="595"/>
      <c r="N124" s="595"/>
      <c r="O124" s="595"/>
      <c r="P124" s="595"/>
      <c r="Q124" s="398"/>
    </row>
    <row r="125" spans="1:28" ht="25.5" customHeight="1">
      <c r="C125" s="645"/>
      <c r="E125" s="594" t="s">
        <v>120</v>
      </c>
      <c r="F125" s="594"/>
      <c r="G125" s="594"/>
      <c r="H125" s="594"/>
      <c r="I125" s="594"/>
      <c r="J125" s="594"/>
      <c r="K125" s="594"/>
      <c r="L125" s="594"/>
      <c r="M125" s="594"/>
      <c r="N125" s="594"/>
      <c r="O125" s="594"/>
      <c r="P125" s="594"/>
      <c r="Q125" s="398"/>
    </row>
    <row r="126" spans="1:28" ht="25.5" customHeight="1">
      <c r="C126" s="654"/>
      <c r="D126" s="429"/>
      <c r="E126" s="664" t="s">
        <v>108</v>
      </c>
      <c r="F126" s="664"/>
      <c r="G126" s="664"/>
      <c r="H126" s="664"/>
      <c r="I126" s="664"/>
      <c r="J126" s="664"/>
      <c r="K126" s="664"/>
      <c r="L126" s="664"/>
      <c r="M126" s="664"/>
      <c r="N126" s="664"/>
      <c r="O126" s="664"/>
      <c r="P126" s="664"/>
      <c r="Q126" s="398"/>
    </row>
    <row r="127" spans="1:28" ht="25.5" customHeight="1">
      <c r="C127" s="657" t="s">
        <v>121</v>
      </c>
      <c r="D127" s="412"/>
      <c r="E127" s="658" t="s">
        <v>110</v>
      </c>
      <c r="F127" s="658"/>
      <c r="G127" s="658"/>
      <c r="H127" s="658"/>
      <c r="I127" s="658"/>
      <c r="J127" s="658"/>
      <c r="K127" s="658"/>
      <c r="L127" s="658"/>
      <c r="M127" s="658"/>
      <c r="N127" s="658"/>
      <c r="O127" s="658"/>
      <c r="P127" s="658"/>
      <c r="Q127" s="398"/>
    </row>
    <row r="128" spans="1:28" ht="25.5" customHeight="1">
      <c r="C128" s="645"/>
      <c r="D128" s="406"/>
      <c r="E128" s="659" t="s">
        <v>69</v>
      </c>
      <c r="F128" s="659"/>
      <c r="G128" s="659"/>
      <c r="H128" s="659"/>
      <c r="I128" s="659"/>
      <c r="J128" s="659"/>
      <c r="K128" s="659"/>
      <c r="L128" s="659"/>
      <c r="M128" s="659"/>
      <c r="N128" s="659"/>
      <c r="O128" s="659"/>
      <c r="P128" s="659"/>
      <c r="Q128" s="398"/>
    </row>
    <row r="129" spans="3:17" ht="25.5" customHeight="1">
      <c r="C129" s="645"/>
      <c r="D129" s="406"/>
      <c r="E129" s="647" t="s">
        <v>70</v>
      </c>
      <c r="F129" s="647"/>
      <c r="G129" s="647"/>
      <c r="H129" s="647"/>
      <c r="I129" s="647"/>
      <c r="J129" s="647"/>
      <c r="K129" s="647"/>
      <c r="L129" s="647"/>
      <c r="M129" s="647"/>
      <c r="N129" s="647"/>
      <c r="O129" s="647"/>
      <c r="P129" s="647"/>
      <c r="Q129" s="398"/>
    </row>
    <row r="130" spans="3:17" ht="25.5" customHeight="1">
      <c r="C130" s="645"/>
      <c r="D130" s="406"/>
      <c r="E130" s="655" t="s">
        <v>96</v>
      </c>
      <c r="F130" s="655"/>
      <c r="G130" s="655"/>
      <c r="H130" s="655"/>
      <c r="I130" s="655"/>
      <c r="J130" s="655"/>
      <c r="K130" s="655"/>
      <c r="L130" s="655"/>
      <c r="M130" s="655"/>
      <c r="N130" s="655"/>
      <c r="O130" s="655"/>
      <c r="P130" s="655"/>
      <c r="Q130" s="398"/>
    </row>
    <row r="131" spans="3:17" ht="25.5" customHeight="1">
      <c r="C131" s="645"/>
      <c r="D131" s="406"/>
      <c r="E131" s="655" t="s">
        <v>97</v>
      </c>
      <c r="F131" s="655"/>
      <c r="G131" s="655"/>
      <c r="H131" s="655"/>
      <c r="I131" s="655"/>
      <c r="J131" s="655"/>
      <c r="K131" s="655"/>
      <c r="L131" s="655"/>
      <c r="M131" s="655"/>
      <c r="N131" s="655"/>
      <c r="O131" s="655"/>
      <c r="P131" s="655"/>
      <c r="Q131" s="439"/>
    </row>
    <row r="132" spans="3:17" ht="25.5" customHeight="1">
      <c r="C132" s="645"/>
      <c r="D132" s="406"/>
      <c r="E132" s="655" t="s">
        <v>98</v>
      </c>
      <c r="F132" s="655"/>
      <c r="G132" s="655"/>
      <c r="H132" s="655"/>
      <c r="I132" s="655"/>
      <c r="J132" s="655"/>
      <c r="K132" s="655"/>
      <c r="L132" s="655"/>
      <c r="M132" s="655"/>
      <c r="N132" s="655"/>
      <c r="O132" s="655"/>
      <c r="P132" s="655"/>
      <c r="Q132" s="442"/>
    </row>
    <row r="133" spans="3:17" ht="25.5" customHeight="1">
      <c r="C133" s="645"/>
      <c r="D133" s="406"/>
      <c r="E133" s="652" t="s">
        <v>99</v>
      </c>
      <c r="F133" s="652"/>
      <c r="G133" s="652"/>
      <c r="H133" s="652"/>
      <c r="I133" s="652"/>
      <c r="J133" s="652"/>
      <c r="K133" s="652"/>
      <c r="L133" s="652"/>
      <c r="M133" s="652"/>
      <c r="N133" s="652"/>
      <c r="O133" s="652"/>
      <c r="P133" s="652"/>
      <c r="Q133" s="442"/>
    </row>
    <row r="134" spans="3:17" ht="25.5" customHeight="1">
      <c r="C134" s="645"/>
      <c r="D134" s="406"/>
      <c r="E134" s="652" t="s">
        <v>100</v>
      </c>
      <c r="F134" s="652"/>
      <c r="G134" s="652"/>
      <c r="H134" s="652"/>
      <c r="I134" s="652"/>
      <c r="J134" s="652"/>
      <c r="K134" s="652"/>
      <c r="L134" s="652"/>
      <c r="M134" s="652"/>
      <c r="N134" s="652"/>
      <c r="O134" s="652"/>
      <c r="P134" s="652"/>
      <c r="Q134" s="442"/>
    </row>
    <row r="135" spans="3:17" ht="25.5" customHeight="1">
      <c r="C135" s="645"/>
      <c r="D135" s="406"/>
      <c r="E135" s="652" t="s">
        <v>101</v>
      </c>
      <c r="F135" s="652"/>
      <c r="G135" s="652"/>
      <c r="H135" s="652"/>
      <c r="I135" s="652"/>
      <c r="J135" s="652"/>
      <c r="K135" s="652"/>
      <c r="L135" s="652"/>
      <c r="M135" s="652"/>
      <c r="N135" s="652"/>
      <c r="O135" s="652"/>
      <c r="P135" s="652"/>
      <c r="Q135" s="398"/>
    </row>
    <row r="136" spans="3:17" ht="25.5" customHeight="1">
      <c r="C136" s="645"/>
      <c r="D136" s="406"/>
      <c r="E136" s="652" t="s">
        <v>102</v>
      </c>
      <c r="F136" s="652"/>
      <c r="G136" s="652"/>
      <c r="H136" s="652"/>
      <c r="I136" s="652"/>
      <c r="J136" s="652"/>
      <c r="K136" s="652"/>
      <c r="L136" s="652"/>
      <c r="M136" s="652"/>
      <c r="N136" s="652"/>
      <c r="O136" s="652"/>
      <c r="P136" s="652"/>
      <c r="Q136" s="439"/>
    </row>
    <row r="137" spans="3:17" ht="25.5" customHeight="1">
      <c r="C137" s="645"/>
      <c r="D137" s="406"/>
      <c r="E137" s="652" t="s">
        <v>103</v>
      </c>
      <c r="F137" s="652"/>
      <c r="G137" s="652"/>
      <c r="H137" s="652"/>
      <c r="I137" s="652"/>
      <c r="J137" s="652"/>
      <c r="K137" s="652"/>
      <c r="L137" s="652"/>
      <c r="M137" s="652"/>
      <c r="N137" s="652"/>
      <c r="O137" s="652"/>
      <c r="P137" s="652"/>
      <c r="Q137" s="442"/>
    </row>
    <row r="138" spans="3:17" ht="25.5" customHeight="1">
      <c r="C138" s="645"/>
      <c r="D138" s="406"/>
      <c r="E138" s="652" t="s">
        <v>104</v>
      </c>
      <c r="F138" s="652"/>
      <c r="G138" s="652"/>
      <c r="H138" s="652"/>
      <c r="I138" s="652"/>
      <c r="J138" s="652"/>
      <c r="K138" s="652"/>
      <c r="L138" s="652"/>
      <c r="M138" s="652"/>
      <c r="N138" s="652"/>
      <c r="O138" s="652"/>
      <c r="P138" s="652"/>
      <c r="Q138" s="442"/>
    </row>
    <row r="139" spans="3:17" ht="25.5" customHeight="1">
      <c r="C139" s="654"/>
      <c r="D139" s="429"/>
      <c r="E139" s="653" t="s">
        <v>105</v>
      </c>
      <c r="F139" s="653"/>
      <c r="G139" s="653"/>
      <c r="H139" s="653"/>
      <c r="I139" s="653"/>
      <c r="J139" s="653"/>
      <c r="K139" s="653"/>
      <c r="L139" s="653"/>
      <c r="M139" s="653"/>
      <c r="N139" s="653"/>
      <c r="O139" s="653"/>
      <c r="P139" s="653"/>
      <c r="Q139" s="442"/>
    </row>
    <row r="140" spans="3:17" ht="25.5" customHeight="1">
      <c r="C140" s="645" t="s">
        <v>122</v>
      </c>
      <c r="D140" s="406"/>
      <c r="E140" s="647" t="s">
        <v>63</v>
      </c>
      <c r="F140" s="647"/>
      <c r="G140" s="647"/>
      <c r="H140" s="647"/>
      <c r="I140" s="647"/>
      <c r="J140" s="647"/>
      <c r="K140" s="647"/>
      <c r="L140" s="647"/>
      <c r="M140" s="647"/>
      <c r="N140" s="647"/>
      <c r="O140" s="647"/>
      <c r="P140" s="647"/>
      <c r="Q140" s="442"/>
    </row>
    <row r="141" spans="3:17" ht="25.5" customHeight="1">
      <c r="C141" s="645"/>
      <c r="D141" s="406"/>
      <c r="E141" s="655" t="s">
        <v>64</v>
      </c>
      <c r="F141" s="655"/>
      <c r="G141" s="655"/>
      <c r="H141" s="655"/>
      <c r="I141" s="655"/>
      <c r="J141" s="655"/>
      <c r="K141" s="655"/>
      <c r="L141" s="655"/>
      <c r="M141" s="655"/>
      <c r="N141" s="655"/>
      <c r="O141" s="655"/>
      <c r="P141" s="655"/>
      <c r="Q141" s="398"/>
    </row>
    <row r="142" spans="3:17" ht="25.5" customHeight="1">
      <c r="C142" s="654"/>
      <c r="D142" s="429"/>
      <c r="E142" s="656" t="s">
        <v>65</v>
      </c>
      <c r="F142" s="656"/>
      <c r="G142" s="656"/>
      <c r="H142" s="656"/>
      <c r="I142" s="656"/>
      <c r="J142" s="656"/>
      <c r="K142" s="656"/>
      <c r="L142" s="656"/>
      <c r="M142" s="656"/>
      <c r="N142" s="656"/>
      <c r="O142" s="656"/>
      <c r="P142" s="656"/>
      <c r="Q142" s="398"/>
    </row>
    <row r="143" spans="3:17" ht="25.5" customHeight="1">
      <c r="C143" s="645" t="s">
        <v>123</v>
      </c>
      <c r="D143" s="406"/>
      <c r="E143" s="647" t="s">
        <v>66</v>
      </c>
      <c r="F143" s="647"/>
      <c r="G143" s="647"/>
      <c r="H143" s="647"/>
      <c r="I143" s="647"/>
      <c r="J143" s="647"/>
      <c r="K143" s="647"/>
      <c r="L143" s="647"/>
      <c r="M143" s="647"/>
      <c r="N143" s="647"/>
      <c r="O143" s="647"/>
      <c r="P143" s="647"/>
      <c r="Q143" s="398"/>
    </row>
    <row r="144" spans="3:17" ht="25.5" customHeight="1">
      <c r="C144" s="646"/>
      <c r="D144" s="475"/>
      <c r="E144" s="648" t="s">
        <v>67</v>
      </c>
      <c r="F144" s="648"/>
      <c r="G144" s="648"/>
      <c r="H144" s="648"/>
      <c r="I144" s="648"/>
      <c r="J144" s="648"/>
      <c r="K144" s="648"/>
      <c r="L144" s="648"/>
      <c r="M144" s="648"/>
      <c r="N144" s="648"/>
      <c r="O144" s="648"/>
      <c r="P144" s="648"/>
      <c r="Q144" s="398"/>
    </row>
    <row r="145" spans="1:18" ht="32.25" customHeight="1">
      <c r="Q145" s="398"/>
    </row>
    <row r="146" spans="1:18" ht="24.95" customHeight="1">
      <c r="C146" s="649" t="s">
        <v>183</v>
      </c>
      <c r="D146" s="650"/>
      <c r="E146" s="650"/>
      <c r="F146" s="650"/>
      <c r="G146" s="650"/>
      <c r="H146" s="650"/>
      <c r="I146" s="650"/>
      <c r="J146" s="650"/>
      <c r="K146" s="650"/>
      <c r="L146" s="650"/>
      <c r="M146" s="650"/>
      <c r="N146" s="650"/>
      <c r="O146" s="650"/>
      <c r="P146" s="650"/>
      <c r="Q146" s="398"/>
    </row>
    <row r="147" spans="1:18" ht="32.25" customHeight="1">
      <c r="C147" s="651"/>
      <c r="D147" s="651"/>
      <c r="E147" s="651"/>
      <c r="F147" s="651"/>
      <c r="G147" s="651"/>
      <c r="H147" s="651"/>
      <c r="I147" s="651"/>
      <c r="J147" s="651"/>
      <c r="K147" s="651"/>
      <c r="L147" s="651"/>
      <c r="M147" s="651"/>
      <c r="N147" s="651"/>
      <c r="O147" s="651"/>
      <c r="P147" s="651"/>
      <c r="Q147" s="398"/>
    </row>
    <row r="148" spans="1:18" ht="17.25" customHeight="1">
      <c r="C148" s="632" t="s">
        <v>68</v>
      </c>
      <c r="D148" s="632"/>
      <c r="E148" s="632"/>
      <c r="F148" s="632"/>
      <c r="G148" s="632"/>
      <c r="H148" s="632"/>
      <c r="I148" s="632"/>
      <c r="J148" s="632"/>
      <c r="K148" s="632"/>
      <c r="L148" s="632"/>
      <c r="M148" s="632"/>
      <c r="N148" s="632"/>
      <c r="O148" s="632"/>
      <c r="P148" s="632"/>
      <c r="Q148" s="398"/>
    </row>
    <row r="149" spans="1:18" ht="32.25" customHeight="1">
      <c r="Q149" s="398"/>
    </row>
    <row r="150" spans="1:18" ht="18.75" customHeight="1">
      <c r="C150" s="631" t="s">
        <v>88</v>
      </c>
      <c r="D150" s="632"/>
      <c r="E150" s="632"/>
      <c r="F150" s="632"/>
      <c r="G150" s="632"/>
      <c r="H150" s="632"/>
      <c r="I150" s="632"/>
      <c r="J150" s="632"/>
      <c r="K150" s="632"/>
      <c r="L150" s="632"/>
      <c r="M150" s="632"/>
      <c r="N150" s="632"/>
      <c r="O150" s="632"/>
      <c r="P150" s="632"/>
      <c r="Q150" s="398"/>
    </row>
    <row r="151" spans="1:18" ht="32.25" customHeight="1">
      <c r="Q151" s="398"/>
    </row>
    <row r="152" spans="1:18" s="375" customFormat="1" ht="31.5" customHeight="1">
      <c r="A152" s="373"/>
      <c r="B152" s="373"/>
      <c r="C152" s="633" t="s">
        <v>18</v>
      </c>
      <c r="D152" s="634"/>
      <c r="E152" s="634"/>
      <c r="F152" s="634"/>
      <c r="G152" s="634"/>
      <c r="H152" s="634"/>
      <c r="I152" s="635"/>
      <c r="J152" s="633" t="s">
        <v>19</v>
      </c>
      <c r="K152" s="634"/>
      <c r="L152" s="634"/>
      <c r="M152" s="634"/>
      <c r="N152" s="634"/>
      <c r="O152" s="634"/>
      <c r="P152" s="635"/>
      <c r="Q152" s="373"/>
      <c r="R152" s="373"/>
    </row>
    <row r="153" spans="1:18" s="375" customFormat="1" ht="28.5" customHeight="1">
      <c r="A153" s="373"/>
      <c r="B153" s="373"/>
      <c r="C153" s="552" t="e">
        <f>" " &amp;#REF!</f>
        <v>#REF!</v>
      </c>
      <c r="D153" s="553"/>
      <c r="E153" s="553"/>
      <c r="F153" s="553"/>
      <c r="G153" s="553"/>
      <c r="H153" s="553"/>
      <c r="I153" s="554"/>
      <c r="J153" s="636" t="s">
        <v>93</v>
      </c>
      <c r="K153" s="637"/>
      <c r="L153" s="637"/>
      <c r="M153" s="637"/>
      <c r="N153" s="637"/>
      <c r="O153" s="637"/>
      <c r="P153" s="638"/>
      <c r="Q153" s="373"/>
      <c r="R153" s="373"/>
    </row>
    <row r="154" spans="1:18" s="375" customFormat="1" ht="28.5" customHeight="1">
      <c r="A154" s="373"/>
      <c r="B154" s="373"/>
      <c r="C154" s="639" t="str">
        <f>" 주소 : "&amp;$T$4</f>
        <v xml:space="preserve"> 주소 : 대구시 수성구 범어천로66, 4층</v>
      </c>
      <c r="D154" s="640"/>
      <c r="E154" s="640"/>
      <c r="F154" s="640"/>
      <c r="G154" s="640"/>
      <c r="H154" s="640"/>
      <c r="I154" s="641"/>
      <c r="J154" s="642" t="s">
        <v>94</v>
      </c>
      <c r="K154" s="643"/>
      <c r="L154" s="643"/>
      <c r="M154" s="643"/>
      <c r="N154" s="643"/>
      <c r="O154" s="643"/>
      <c r="P154" s="644"/>
      <c r="Q154" s="373"/>
      <c r="R154" s="373"/>
    </row>
    <row r="155" spans="1:18" s="375" customFormat="1" ht="28.5" customHeight="1">
      <c r="A155" s="373"/>
      <c r="B155" s="373"/>
      <c r="C155" s="543" t="e">
        <f>C153&amp;"  대표 "&amp;$T$5</f>
        <v>#REF!</v>
      </c>
      <c r="D155" s="544"/>
      <c r="E155" s="544"/>
      <c r="F155" s="544"/>
      <c r="G155" s="544"/>
      <c r="H155" s="545" t="s">
        <v>184</v>
      </c>
      <c r="I155" s="546"/>
      <c r="J155" s="476" t="s">
        <v>95</v>
      </c>
      <c r="K155" s="630" t="e">
        <f>H82</f>
        <v>#REF!</v>
      </c>
      <c r="L155" s="630"/>
      <c r="M155" s="630"/>
      <c r="N155" s="630"/>
      <c r="O155" s="477"/>
      <c r="P155" s="478" t="s">
        <v>185</v>
      </c>
      <c r="Q155" s="373"/>
      <c r="R155" s="373"/>
    </row>
    <row r="156" spans="1:18" s="375" customFormat="1" ht="15" customHeight="1">
      <c r="A156" s="373"/>
      <c r="B156" s="373"/>
      <c r="C156" s="374"/>
      <c r="D156" s="373"/>
      <c r="E156" s="373"/>
      <c r="F156" s="373"/>
      <c r="G156" s="373"/>
      <c r="H156" s="373"/>
      <c r="I156" s="373"/>
      <c r="J156" s="373"/>
      <c r="K156" s="373"/>
      <c r="L156" s="373"/>
      <c r="M156" s="373"/>
      <c r="N156" s="373"/>
      <c r="O156" s="373"/>
      <c r="P156" s="373"/>
      <c r="Q156" s="373"/>
      <c r="R156" s="373"/>
    </row>
  </sheetData>
  <mergeCells count="208">
    <mergeCell ref="C9:C11"/>
    <mergeCell ref="F9:I9"/>
    <mergeCell ref="K9:L9"/>
    <mergeCell ref="F10:I10"/>
    <mergeCell ref="J10:P10"/>
    <mergeCell ref="E11:M11"/>
    <mergeCell ref="C2:P2"/>
    <mergeCell ref="C4:G4"/>
    <mergeCell ref="H4:J4"/>
    <mergeCell ref="K4:P4"/>
    <mergeCell ref="C5:P5"/>
    <mergeCell ref="C6:C8"/>
    <mergeCell ref="F6:P6"/>
    <mergeCell ref="G7:P7"/>
    <mergeCell ref="E8:P8"/>
    <mergeCell ref="K15:N15"/>
    <mergeCell ref="O15:P15"/>
    <mergeCell ref="E16:G16"/>
    <mergeCell ref="H16:J16"/>
    <mergeCell ref="K16:N16"/>
    <mergeCell ref="O16:P16"/>
    <mergeCell ref="C12:C21"/>
    <mergeCell ref="G12:P12"/>
    <mergeCell ref="E13:G13"/>
    <mergeCell ref="H13:J13"/>
    <mergeCell ref="K13:N13"/>
    <mergeCell ref="O13:P13"/>
    <mergeCell ref="E14:G14"/>
    <mergeCell ref="K14:N14"/>
    <mergeCell ref="O14:P14"/>
    <mergeCell ref="E15:G15"/>
    <mergeCell ref="E17:P17"/>
    <mergeCell ref="J18:P18"/>
    <mergeCell ref="E20:P20"/>
    <mergeCell ref="J21:P21"/>
    <mergeCell ref="C36:C39"/>
    <mergeCell ref="E36:P36"/>
    <mergeCell ref="E37:P37"/>
    <mergeCell ref="E38:P38"/>
    <mergeCell ref="E39:P39"/>
    <mergeCell ref="E27:I27"/>
    <mergeCell ref="J27:P27"/>
    <mergeCell ref="C28:C35"/>
    <mergeCell ref="F28:H28"/>
    <mergeCell ref="I28:J28"/>
    <mergeCell ref="K28:L28"/>
    <mergeCell ref="E29:P29"/>
    <mergeCell ref="E30:P30"/>
    <mergeCell ref="E31:P31"/>
    <mergeCell ref="E32:P32"/>
    <mergeCell ref="C22:C27"/>
    <mergeCell ref="E23:P23"/>
    <mergeCell ref="E24:P24"/>
    <mergeCell ref="E25:P25"/>
    <mergeCell ref="E26:P26"/>
    <mergeCell ref="E33:P33"/>
    <mergeCell ref="E34:P34"/>
    <mergeCell ref="E35:P35"/>
    <mergeCell ref="E22:K22"/>
    <mergeCell ref="C40:C43"/>
    <mergeCell ref="E41:P41"/>
    <mergeCell ref="E42:P42"/>
    <mergeCell ref="E43:P43"/>
    <mergeCell ref="C44:C48"/>
    <mergeCell ref="E44:P44"/>
    <mergeCell ref="E45:P45"/>
    <mergeCell ref="E46:P46"/>
    <mergeCell ref="E47:P47"/>
    <mergeCell ref="E48:P48"/>
    <mergeCell ref="C65:C66"/>
    <mergeCell ref="E65:P65"/>
    <mergeCell ref="E66:P66"/>
    <mergeCell ref="C68:P68"/>
    <mergeCell ref="C69:P69"/>
    <mergeCell ref="C70:P70"/>
    <mergeCell ref="E58:P58"/>
    <mergeCell ref="E59:P59"/>
    <mergeCell ref="E60:P60"/>
    <mergeCell ref="E61:P61"/>
    <mergeCell ref="C62:C64"/>
    <mergeCell ref="E62:P62"/>
    <mergeCell ref="E63:P63"/>
    <mergeCell ref="E64:P64"/>
    <mergeCell ref="C49:C61"/>
    <mergeCell ref="E49:P49"/>
    <mergeCell ref="E50:P50"/>
    <mergeCell ref="E51:P51"/>
    <mergeCell ref="E52:P52"/>
    <mergeCell ref="E53:P53"/>
    <mergeCell ref="E54:P54"/>
    <mergeCell ref="E55:P55"/>
    <mergeCell ref="E56:P56"/>
    <mergeCell ref="E57:P57"/>
    <mergeCell ref="C77:G77"/>
    <mergeCell ref="H77:I77"/>
    <mergeCell ref="K77:N77"/>
    <mergeCell ref="C80:P80"/>
    <mergeCell ref="C82:G82"/>
    <mergeCell ref="H82:J82"/>
    <mergeCell ref="K82:P82"/>
    <mergeCell ref="C72:P72"/>
    <mergeCell ref="C74:I74"/>
    <mergeCell ref="J74:P74"/>
    <mergeCell ref="C75:I75"/>
    <mergeCell ref="J75:P75"/>
    <mergeCell ref="C76:I76"/>
    <mergeCell ref="J76:P76"/>
    <mergeCell ref="C83:P83"/>
    <mergeCell ref="C84:C86"/>
    <mergeCell ref="F84:P84"/>
    <mergeCell ref="G85:P85"/>
    <mergeCell ref="E86:P86"/>
    <mergeCell ref="C87:C89"/>
    <mergeCell ref="F87:I87"/>
    <mergeCell ref="K87:L87"/>
    <mergeCell ref="F88:I88"/>
    <mergeCell ref="J88:P88"/>
    <mergeCell ref="E93:G93"/>
    <mergeCell ref="K93:N93"/>
    <mergeCell ref="O93:P93"/>
    <mergeCell ref="E94:G94"/>
    <mergeCell ref="H94:J94"/>
    <mergeCell ref="K94:N94"/>
    <mergeCell ref="O94:P94"/>
    <mergeCell ref="E89:M89"/>
    <mergeCell ref="C90:C99"/>
    <mergeCell ref="G90:P90"/>
    <mergeCell ref="E91:G91"/>
    <mergeCell ref="H91:J91"/>
    <mergeCell ref="K91:N91"/>
    <mergeCell ref="O91:P91"/>
    <mergeCell ref="E92:G92"/>
    <mergeCell ref="K92:N92"/>
    <mergeCell ref="O92:P92"/>
    <mergeCell ref="E95:P95"/>
    <mergeCell ref="J96:P96"/>
    <mergeCell ref="E98:P98"/>
    <mergeCell ref="J99:P99"/>
    <mergeCell ref="C114:C117"/>
    <mergeCell ref="E114:P114"/>
    <mergeCell ref="E115:P115"/>
    <mergeCell ref="E116:P116"/>
    <mergeCell ref="E117:P117"/>
    <mergeCell ref="E105:I105"/>
    <mergeCell ref="J105:P105"/>
    <mergeCell ref="C106:C113"/>
    <mergeCell ref="F106:H106"/>
    <mergeCell ref="I106:J106"/>
    <mergeCell ref="K106:L106"/>
    <mergeCell ref="E107:P107"/>
    <mergeCell ref="E108:P108"/>
    <mergeCell ref="E109:P109"/>
    <mergeCell ref="E110:P110"/>
    <mergeCell ref="C100:C105"/>
    <mergeCell ref="E101:P101"/>
    <mergeCell ref="E102:P102"/>
    <mergeCell ref="E103:P103"/>
    <mergeCell ref="E104:P104"/>
    <mergeCell ref="E111:P111"/>
    <mergeCell ref="E112:P112"/>
    <mergeCell ref="E113:P113"/>
    <mergeCell ref="C118:C121"/>
    <mergeCell ref="E119:P119"/>
    <mergeCell ref="E120:P120"/>
    <mergeCell ref="E121:P121"/>
    <mergeCell ref="C122:C126"/>
    <mergeCell ref="E122:P122"/>
    <mergeCell ref="E123:P123"/>
    <mergeCell ref="E124:P124"/>
    <mergeCell ref="E125:P125"/>
    <mergeCell ref="E126:P126"/>
    <mergeCell ref="E140:P140"/>
    <mergeCell ref="E141:P141"/>
    <mergeCell ref="E142:P142"/>
    <mergeCell ref="C127:C139"/>
    <mergeCell ref="E127:P127"/>
    <mergeCell ref="E128:P128"/>
    <mergeCell ref="E129:P129"/>
    <mergeCell ref="E130:P130"/>
    <mergeCell ref="E131:P131"/>
    <mergeCell ref="E132:P132"/>
    <mergeCell ref="E133:P133"/>
    <mergeCell ref="E134:P134"/>
    <mergeCell ref="E135:P135"/>
    <mergeCell ref="L22:N22"/>
    <mergeCell ref="E100:K100"/>
    <mergeCell ref="L100:N100"/>
    <mergeCell ref="C155:G155"/>
    <mergeCell ref="H155:I155"/>
    <mergeCell ref="K155:N155"/>
    <mergeCell ref="C150:P150"/>
    <mergeCell ref="C152:I152"/>
    <mergeCell ref="J152:P152"/>
    <mergeCell ref="C153:I153"/>
    <mergeCell ref="J153:P153"/>
    <mergeCell ref="C154:I154"/>
    <mergeCell ref="J154:P154"/>
    <mergeCell ref="C143:C144"/>
    <mergeCell ref="E143:P143"/>
    <mergeCell ref="E144:P144"/>
    <mergeCell ref="C146:P146"/>
    <mergeCell ref="C147:P147"/>
    <mergeCell ref="C148:P148"/>
    <mergeCell ref="E136:P136"/>
    <mergeCell ref="E137:P137"/>
    <mergeCell ref="E138:P138"/>
    <mergeCell ref="E139:P139"/>
    <mergeCell ref="C140:C142"/>
  </mergeCells>
  <phoneticPr fontId="15" type="noConversion"/>
  <pageMargins left="0.43307086614173229" right="0.43307086614173229" top="0.47244094488188981" bottom="0.51181102362204722" header="0.35433070866141736" footer="0.31496062992125984"/>
  <pageSetup paperSize="9" scale="75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5260C-11A3-4362-B700-BA86356AC640}">
  <dimension ref="A1:Y86"/>
  <sheetViews>
    <sheetView showGridLines="0" view="pageBreakPreview" zoomScale="76" zoomScaleSheetLayoutView="76" workbookViewId="0">
      <selection activeCell="AL21" sqref="AL21:AL22"/>
    </sheetView>
  </sheetViews>
  <sheetFormatPr defaultColWidth="8.88671875" defaultRowHeight="10.5"/>
  <cols>
    <col min="1" max="6" width="13.77734375" style="248" customWidth="1"/>
    <col min="7" max="8" width="3.5546875" style="248" customWidth="1"/>
    <col min="9" max="14" width="13.77734375" style="248" customWidth="1"/>
    <col min="15" max="15" width="3.109375" style="248" bestFit="1" customWidth="1"/>
    <col min="16" max="16" width="2.88671875" style="248" customWidth="1"/>
    <col min="17" max="17" width="13.6640625" style="248" customWidth="1"/>
    <col min="18" max="21" width="12.21875" style="248" customWidth="1"/>
    <col min="22" max="16384" width="8.88671875" style="248"/>
  </cols>
  <sheetData>
    <row r="1" spans="1:25" s="246" customFormat="1" ht="39" customHeight="1">
      <c r="A1" s="253"/>
      <c r="B1" s="783" t="e">
        <f ca="1">INDIRECT(ADDRESS(2,6,,,"급여대장"))</f>
        <v>#REF!</v>
      </c>
      <c r="C1" s="783"/>
      <c r="D1" s="784" t="s">
        <v>195</v>
      </c>
      <c r="E1" s="784"/>
      <c r="F1" s="784"/>
      <c r="G1" s="253"/>
      <c r="H1" s="253"/>
      <c r="I1" s="253"/>
      <c r="J1" s="783" t="e">
        <f ca="1">B1</f>
        <v>#REF!</v>
      </c>
      <c r="K1" s="783"/>
      <c r="L1" s="784" t="str">
        <f>D1</f>
        <v>급여 명세서</v>
      </c>
      <c r="M1" s="784"/>
      <c r="N1" s="784"/>
    </row>
    <row r="2" spans="1:25" s="247" customFormat="1" ht="15" customHeight="1" thickBot="1">
      <c r="A2" s="254" t="e">
        <f ca="1">INDIRECT(ADDRESS(3*O2-2+8,1,,,"급여대장"))</f>
        <v>#REF!</v>
      </c>
      <c r="B2" s="254"/>
      <c r="C2" s="254"/>
      <c r="D2" s="254"/>
      <c r="E2" s="255" t="e">
        <f ca="1">INDIRECT(ADDRESS(4,12,,,"급여대장"))</f>
        <v>#REF!</v>
      </c>
      <c r="F2" s="256" t="e">
        <f ca="1">INDIRECT(ADDRESS(4,13,,,"급여대장"))</f>
        <v>#REF!</v>
      </c>
      <c r="G2" s="257"/>
      <c r="H2" s="258"/>
      <c r="I2" s="254" t="e">
        <f ca="1">A2</f>
        <v>#REF!</v>
      </c>
      <c r="J2" s="254"/>
      <c r="K2" s="254"/>
      <c r="L2" s="254"/>
      <c r="M2" s="255" t="e">
        <f ca="1">E2</f>
        <v>#REF!</v>
      </c>
      <c r="N2" s="259" t="e">
        <f ca="1">F2</f>
        <v>#REF!</v>
      </c>
      <c r="O2" s="351">
        <v>16</v>
      </c>
      <c r="P2" s="351"/>
      <c r="Q2" s="351" t="e">
        <f ca="1">_xlfn.XLOOKUP(A2,#REF!,#REF!)</f>
        <v>#REF!</v>
      </c>
    </row>
    <row r="3" spans="1:25" ht="17.100000000000001" customHeight="1">
      <c r="A3" s="785" t="e">
        <f ca="1">INDIRECT(ADDRESS(7,1,,,"급여대장"))</f>
        <v>#REF!</v>
      </c>
      <c r="B3" s="786"/>
      <c r="C3" s="787" t="e">
        <f ca="1">INDIRECT(ADDRESS(3*O2-2+9,1,,,"급여대장"))</f>
        <v>#REF!</v>
      </c>
      <c r="D3" s="788"/>
      <c r="E3" s="260" t="s">
        <v>196</v>
      </c>
      <c r="F3" s="261" t="e">
        <f ca="1">INDIRECT(ADDRESS(3*O2-2+10,3,,,"급여대장"))</f>
        <v>#REF!</v>
      </c>
      <c r="G3" s="257"/>
      <c r="H3" s="262"/>
      <c r="I3" s="785" t="e">
        <f ca="1">A3</f>
        <v>#REF!</v>
      </c>
      <c r="J3" s="786"/>
      <c r="K3" s="787" t="e">
        <f ca="1">C3</f>
        <v>#REF!</v>
      </c>
      <c r="L3" s="788"/>
      <c r="M3" s="260" t="s">
        <v>196</v>
      </c>
      <c r="N3" s="261" t="e">
        <f ca="1">INDIRECT(ADDRESS(3*O2-2+10,3,,,"급여대장"))</f>
        <v>#REF!</v>
      </c>
    </row>
    <row r="4" spans="1:25" ht="17.100000000000001" customHeight="1">
      <c r="A4" s="263" t="e">
        <f ca="1">INDIRECT(ADDRESS(6,2,,,"급여대장"))</f>
        <v>#REF!</v>
      </c>
      <c r="B4" s="264" t="e">
        <f ca="1">INDIRECT(ADDRESS(7,2,,,"급여대장"))</f>
        <v>#REF!</v>
      </c>
      <c r="C4" s="776" t="e">
        <f ca="1">INDIRECT(ADDRESS(3*O2-2+8,2,,,"급여대장"))</f>
        <v>#REF!</v>
      </c>
      <c r="D4" s="777"/>
      <c r="E4" s="777" t="e">
        <f ca="1">INDIRECT(ADDRESS(3*O2-2+9,2,,,"급여대장"))</f>
        <v>#REF!</v>
      </c>
      <c r="F4" s="778"/>
      <c r="G4" s="265"/>
      <c r="H4" s="262"/>
      <c r="I4" s="263" t="e">
        <f ca="1">A4</f>
        <v>#REF!</v>
      </c>
      <c r="J4" s="264" t="e">
        <f ca="1">B4</f>
        <v>#REF!</v>
      </c>
      <c r="K4" s="776" t="e">
        <f ca="1">C4</f>
        <v>#REF!</v>
      </c>
      <c r="L4" s="777"/>
      <c r="M4" s="777" t="e">
        <f ca="1">E4</f>
        <v>#REF!</v>
      </c>
      <c r="N4" s="778"/>
    </row>
    <row r="5" spans="1:25" ht="17.100000000000001" customHeight="1" thickBot="1">
      <c r="A5" s="266" t="e">
        <f ca="1">INDIRECT(ADDRESS(8,1,,,"급여대장"))</f>
        <v>#REF!</v>
      </c>
      <c r="B5" s="267" t="e">
        <f ca="1">INDIRECT(ADDRESS(8,2,,,"급여대장"))</f>
        <v>#REF!</v>
      </c>
      <c r="C5" s="779" t="e">
        <f ca="1">INDIRECT(ADDRESS(3*O2-2+10,1,,,"급여대장"))</f>
        <v>#REF!</v>
      </c>
      <c r="D5" s="780"/>
      <c r="E5" s="781" t="e">
        <f ca="1">REPLACE(INDIRECT(ADDRESS(3*O2-2+10,2,,,"급여대장")),9,6,"******")</f>
        <v>#REF!</v>
      </c>
      <c r="F5" s="782"/>
      <c r="G5" s="268"/>
      <c r="H5" s="262"/>
      <c r="I5" s="266" t="e">
        <f ca="1">A5</f>
        <v>#REF!</v>
      </c>
      <c r="J5" s="267" t="e">
        <f ca="1">B5</f>
        <v>#REF!</v>
      </c>
      <c r="K5" s="779" t="e">
        <f ca="1">C5</f>
        <v>#REF!</v>
      </c>
      <c r="L5" s="780"/>
      <c r="M5" s="781" t="e">
        <f ca="1">E5</f>
        <v>#REF!</v>
      </c>
      <c r="N5" s="782"/>
    </row>
    <row r="6" spans="1:25" ht="17.100000000000001" customHeight="1" thickBot="1">
      <c r="A6" s="262"/>
      <c r="B6" s="262"/>
      <c r="C6" s="262"/>
      <c r="D6" s="262"/>
      <c r="E6" s="262"/>
      <c r="F6" s="262"/>
      <c r="G6" s="257"/>
      <c r="H6" s="262"/>
      <c r="I6" s="269"/>
      <c r="J6" s="269"/>
      <c r="K6" s="269"/>
      <c r="L6" s="269"/>
      <c r="M6" s="269"/>
      <c r="N6" s="269"/>
    </row>
    <row r="7" spans="1:25" s="249" customFormat="1" ht="17.100000000000001" customHeight="1">
      <c r="A7" s="752" t="e">
        <f ca="1">INDIRECT(ADDRESS(5,7,,,"급여대장"))</f>
        <v>#REF!</v>
      </c>
      <c r="B7" s="270" t="e">
        <f ca="1">INDIRECT(ADDRESS(6,7,,,"급여대장"))</f>
        <v>#REF!</v>
      </c>
      <c r="C7" s="270" t="e">
        <f ca="1">INDIRECT(ADDRESS(6,8,,,"급여대장"))</f>
        <v>#REF!</v>
      </c>
      <c r="D7" s="270" t="e">
        <f ca="1">INDIRECT(ADDRESS(6,9,,,"급여대장"))</f>
        <v>#REF!</v>
      </c>
      <c r="E7" s="332" t="e">
        <f ca="1">INDIRECT(ADDRESS(6,10,,,"급여대장"))</f>
        <v>#REF!</v>
      </c>
      <c r="F7" s="773" t="e">
        <f ca="1">INDIRECT(ADDRESS(6,11,,,"급여대장"))</f>
        <v>#REF!</v>
      </c>
      <c r="G7" s="257"/>
      <c r="H7" s="262"/>
      <c r="I7" s="752" t="e">
        <f ca="1">A7</f>
        <v>#REF!</v>
      </c>
      <c r="J7" s="270" t="e">
        <f ca="1">B7</f>
        <v>#REF!</v>
      </c>
      <c r="K7" s="270" t="e">
        <f t="shared" ref="K7:N32" ca="1" si="0">C7</f>
        <v>#REF!</v>
      </c>
      <c r="L7" s="270" t="e">
        <f t="shared" ca="1" si="0"/>
        <v>#REF!</v>
      </c>
      <c r="M7" s="270" t="e">
        <f t="shared" ca="1" si="0"/>
        <v>#REF!</v>
      </c>
      <c r="N7" s="773" t="e">
        <f ca="1">F7</f>
        <v>#REF!</v>
      </c>
    </row>
    <row r="8" spans="1:25" s="249" customFormat="1" ht="17.100000000000001" customHeight="1">
      <c r="A8" s="753"/>
      <c r="B8" s="271" t="e">
        <f ca="1">INDIRECT(ADDRESS(7,7,,,"급여대장"))</f>
        <v>#REF!</v>
      </c>
      <c r="C8" s="271" t="e">
        <f ca="1">INDIRECT(ADDRESS(7,8,,,"급여대장"))</f>
        <v>#REF!</v>
      </c>
      <c r="D8" s="271" t="e">
        <f ca="1">INDIRECT(ADDRESS(7,9,,,"급여대장"))</f>
        <v>#REF!</v>
      </c>
      <c r="E8" s="333" t="e">
        <f ca="1">INDIRECT(ADDRESS(7,10,,,"급여대장"))</f>
        <v>#REF!</v>
      </c>
      <c r="F8" s="774"/>
      <c r="G8" s="257"/>
      <c r="H8" s="262"/>
      <c r="I8" s="753"/>
      <c r="J8" s="271" t="e">
        <f t="shared" ref="J8:J12" ca="1" si="1">B8</f>
        <v>#REF!</v>
      </c>
      <c r="K8" s="271" t="e">
        <f t="shared" ca="1" si="0"/>
        <v>#REF!</v>
      </c>
      <c r="L8" s="271" t="e">
        <f t="shared" ca="1" si="0"/>
        <v>#REF!</v>
      </c>
      <c r="M8" s="271" t="e">
        <f t="shared" ca="1" si="0"/>
        <v>#REF!</v>
      </c>
      <c r="N8" s="774"/>
    </row>
    <row r="9" spans="1:25" s="249" customFormat="1" ht="17.100000000000001" customHeight="1">
      <c r="A9" s="753"/>
      <c r="B9" s="272" t="e">
        <f ca="1">INDIRECT(ADDRESS(8,7,,,"급여대장"))</f>
        <v>#REF!</v>
      </c>
      <c r="C9" s="272" t="e">
        <f ca="1">INDIRECT(ADDRESS(8,8,,,"급여대장"))</f>
        <v>#REF!</v>
      </c>
      <c r="D9" s="272" t="e">
        <f ca="1">INDIRECT(ADDRESS(8,9,,,"급여대장"))</f>
        <v>#REF!</v>
      </c>
      <c r="E9" s="334" t="e">
        <f ca="1">INDIRECT(ADDRESS(8,10,,,"급여대장"))</f>
        <v>#REF!</v>
      </c>
      <c r="F9" s="775"/>
      <c r="G9" s="257"/>
      <c r="H9" s="273"/>
      <c r="I9" s="753"/>
      <c r="J9" s="272" t="e">
        <f t="shared" ca="1" si="1"/>
        <v>#REF!</v>
      </c>
      <c r="K9" s="272" t="e">
        <f t="shared" ca="1" si="0"/>
        <v>#REF!</v>
      </c>
      <c r="L9" s="272" t="e">
        <f t="shared" ca="1" si="0"/>
        <v>#REF!</v>
      </c>
      <c r="M9" s="272" t="e">
        <f t="shared" ca="1" si="0"/>
        <v>#REF!</v>
      </c>
      <c r="N9" s="775"/>
    </row>
    <row r="10" spans="1:25" s="249" customFormat="1" ht="17.100000000000001" customHeight="1">
      <c r="A10" s="753"/>
      <c r="B10" s="274" t="e">
        <f ca="1">INDIRECT(ADDRESS(3*O2-2+8,7,,,"급여대장"))</f>
        <v>#REF!</v>
      </c>
      <c r="C10" s="274" t="e">
        <f ca="1">INDIRECT(ADDRESS(3*O2-2+8,8,,,"급여대장"))</f>
        <v>#REF!</v>
      </c>
      <c r="D10" s="274" t="e">
        <f ca="1">INDIRECT(ADDRESS(3*O2-2+8,9,,,"급여대장"))</f>
        <v>#REF!</v>
      </c>
      <c r="E10" s="335" t="e">
        <f ca="1">INDIRECT(ADDRESS(3*O2-2+8,10,,,"급여대장"))</f>
        <v>#REF!</v>
      </c>
      <c r="F10" s="767" t="e">
        <f ca="1">INDIRECT(ADDRESS(3*O2-2+8,11,,,"급여대장"))</f>
        <v>#REF!</v>
      </c>
      <c r="G10" s="257"/>
      <c r="H10" s="262"/>
      <c r="I10" s="753"/>
      <c r="J10" s="275" t="e">
        <f t="shared" ca="1" si="1"/>
        <v>#REF!</v>
      </c>
      <c r="K10" s="275" t="e">
        <f t="shared" ca="1" si="0"/>
        <v>#REF!</v>
      </c>
      <c r="L10" s="275" t="e">
        <f t="shared" ca="1" si="0"/>
        <v>#REF!</v>
      </c>
      <c r="M10" s="275" t="e">
        <f t="shared" ca="1" si="0"/>
        <v>#REF!</v>
      </c>
      <c r="N10" s="768" t="e">
        <f ca="1">F10</f>
        <v>#REF!</v>
      </c>
    </row>
    <row r="11" spans="1:25" s="249" customFormat="1" ht="17.100000000000001" customHeight="1">
      <c r="A11" s="753"/>
      <c r="B11" s="274" t="e">
        <f ca="1">INDIRECT(ADDRESS(3*O2-2+9,7,,,"급여대장"))</f>
        <v>#REF!</v>
      </c>
      <c r="C11" s="274" t="e">
        <f ca="1">INDIRECT(ADDRESS(3*O2-2+9,8,,,"급여대장"))</f>
        <v>#REF!</v>
      </c>
      <c r="D11" s="274" t="e">
        <f ca="1">INDIRECT(ADDRESS(3*O2-2+9,9,,,"급여대장"))</f>
        <v>#REF!</v>
      </c>
      <c r="E11" s="335" t="e">
        <f ca="1">INDIRECT(ADDRESS(3*O2-2+9,10,,,"급여대장"))</f>
        <v>#REF!</v>
      </c>
      <c r="F11" s="768"/>
      <c r="G11" s="257"/>
      <c r="H11" s="262"/>
      <c r="I11" s="753"/>
      <c r="J11" s="276" t="e">
        <f t="shared" ca="1" si="1"/>
        <v>#REF!</v>
      </c>
      <c r="K11" s="276" t="e">
        <f t="shared" ca="1" si="0"/>
        <v>#REF!</v>
      </c>
      <c r="L11" s="276" t="e">
        <f t="shared" ca="1" si="0"/>
        <v>#REF!</v>
      </c>
      <c r="M11" s="276" t="e">
        <f t="shared" ca="1" si="0"/>
        <v>#REF!</v>
      </c>
      <c r="N11" s="768"/>
    </row>
    <row r="12" spans="1:25" s="249" customFormat="1" ht="17.100000000000001" customHeight="1" thickBot="1">
      <c r="A12" s="754"/>
      <c r="B12" s="274" t="e">
        <f ca="1">INDIRECT(ADDRESS(3*O2-2+10,7,,,"급여대장"))</f>
        <v>#REF!</v>
      </c>
      <c r="C12" s="274" t="e">
        <f ca="1">INDIRECT(ADDRESS(3*O2-2+10,8,,,"급여대장"))</f>
        <v>#REF!</v>
      </c>
      <c r="D12" s="274" t="e">
        <f ca="1">INDIRECT(ADDRESS(3*O2-2+10,9,,,"급여대장"))</f>
        <v>#REF!</v>
      </c>
      <c r="E12" s="335" t="e">
        <f ca="1">INDIRECT(ADDRESS(3*O2-2+10,10,,,"급여대장"))</f>
        <v>#REF!</v>
      </c>
      <c r="F12" s="769"/>
      <c r="G12" s="257"/>
      <c r="H12" s="262"/>
      <c r="I12" s="754"/>
      <c r="J12" s="277" t="e">
        <f t="shared" ca="1" si="1"/>
        <v>#REF!</v>
      </c>
      <c r="K12" s="277" t="e">
        <f t="shared" ca="1" si="0"/>
        <v>#REF!</v>
      </c>
      <c r="L12" s="277" t="e">
        <f t="shared" ca="1" si="0"/>
        <v>#REF!</v>
      </c>
      <c r="M12" s="277" t="e">
        <f t="shared" ca="1" si="0"/>
        <v>#REF!</v>
      </c>
      <c r="N12" s="769"/>
      <c r="Q12" s="351"/>
      <c r="R12" s="351"/>
      <c r="S12" s="351"/>
      <c r="T12" s="351"/>
      <c r="U12" s="351"/>
      <c r="V12" s="351"/>
      <c r="W12" s="351"/>
      <c r="X12" s="351"/>
      <c r="Y12" s="351"/>
    </row>
    <row r="13" spans="1:25" s="249" customFormat="1" ht="17.100000000000001" customHeight="1">
      <c r="A13" s="752" t="e">
        <f ca="1">INDIRECT(ADDRESS(5,12,,,"급여대장"))</f>
        <v>#REF!</v>
      </c>
      <c r="B13" s="270" t="e">
        <f ca="1">INDIRECT(ADDRESS(6,12,,,"급여대장"))</f>
        <v>#REF!</v>
      </c>
      <c r="C13" s="270" t="e">
        <f ca="1">INDIRECT(ADDRESS(6,13,,,"급여대장"))</f>
        <v>#REF!</v>
      </c>
      <c r="D13" s="270" t="e">
        <f ca="1">INDIRECT(ADDRESS(6,14,,,"급여대장"))</f>
        <v>#REF!</v>
      </c>
      <c r="E13" s="336"/>
      <c r="F13" s="773" t="e">
        <f ca="1">INDIRECT(ADDRESS(6,15,,,"급여대장"))</f>
        <v>#REF!</v>
      </c>
      <c r="G13" s="257"/>
      <c r="H13" s="262"/>
      <c r="I13" s="752" t="e">
        <f ca="1">A13</f>
        <v>#REF!</v>
      </c>
      <c r="J13" s="270" t="e">
        <f ca="1">B13</f>
        <v>#REF!</v>
      </c>
      <c r="K13" s="270" t="e">
        <f t="shared" ca="1" si="0"/>
        <v>#REF!</v>
      </c>
      <c r="L13" s="270" t="e">
        <f t="shared" ca="1" si="0"/>
        <v>#REF!</v>
      </c>
      <c r="M13" s="270"/>
      <c r="N13" s="773" t="e">
        <f ca="1">F13</f>
        <v>#REF!</v>
      </c>
      <c r="Q13" s="351"/>
      <c r="R13" s="351"/>
      <c r="S13" s="351"/>
      <c r="T13" s="351"/>
      <c r="U13" s="351"/>
      <c r="V13" s="351"/>
      <c r="W13" s="351"/>
      <c r="X13" s="351"/>
      <c r="Y13" s="351"/>
    </row>
    <row r="14" spans="1:25" s="249" customFormat="1" ht="17.100000000000001" customHeight="1">
      <c r="A14" s="753"/>
      <c r="B14" s="271" t="e">
        <f ca="1">INDIRECT(ADDRESS(7,12,,,"급여대장"))</f>
        <v>#REF!</v>
      </c>
      <c r="C14" s="271" t="e">
        <f ca="1">INDIRECT(ADDRESS(7,13,,,"급여대장"))</f>
        <v>#REF!</v>
      </c>
      <c r="D14" s="271" t="e">
        <f ca="1">INDIRECT(ADDRESS(7,14,,,"급여대장"))</f>
        <v>#REF!</v>
      </c>
      <c r="E14" s="337"/>
      <c r="F14" s="774"/>
      <c r="G14" s="257"/>
      <c r="H14" s="262"/>
      <c r="I14" s="753"/>
      <c r="J14" s="278" t="e">
        <f t="shared" ref="J14:J18" ca="1" si="2">B14</f>
        <v>#REF!</v>
      </c>
      <c r="K14" s="278" t="e">
        <f t="shared" ca="1" si="0"/>
        <v>#REF!</v>
      </c>
      <c r="L14" s="278" t="e">
        <f t="shared" ca="1" si="0"/>
        <v>#REF!</v>
      </c>
      <c r="M14" s="278"/>
      <c r="N14" s="774"/>
      <c r="Q14" s="351"/>
      <c r="R14" s="351"/>
      <c r="S14" s="351"/>
      <c r="T14" s="351"/>
      <c r="U14" s="351"/>
      <c r="V14" s="351"/>
      <c r="W14" s="351"/>
      <c r="X14" s="351"/>
      <c r="Y14" s="351"/>
    </row>
    <row r="15" spans="1:25" s="249" customFormat="1" ht="17.100000000000001" customHeight="1">
      <c r="A15" s="753"/>
      <c r="B15" s="272" t="e">
        <f ca="1">INDIRECT(ADDRESS(8,12,,,"급여대장"))</f>
        <v>#REF!</v>
      </c>
      <c r="C15" s="272" t="e">
        <f ca="1">INDIRECT(ADDRESS(8,13,,,"급여대장"))</f>
        <v>#REF!</v>
      </c>
      <c r="D15" s="272" t="e">
        <f ca="1">INDIRECT(ADDRESS(8,14,,,"급여대장"))</f>
        <v>#REF!</v>
      </c>
      <c r="E15" s="338"/>
      <c r="F15" s="775"/>
      <c r="G15" s="257"/>
      <c r="H15" s="262"/>
      <c r="I15" s="753"/>
      <c r="J15" s="279" t="e">
        <f t="shared" ca="1" si="2"/>
        <v>#REF!</v>
      </c>
      <c r="K15" s="279" t="e">
        <f t="shared" ca="1" si="0"/>
        <v>#REF!</v>
      </c>
      <c r="L15" s="279" t="e">
        <f t="shared" ca="1" si="0"/>
        <v>#REF!</v>
      </c>
      <c r="M15" s="279"/>
      <c r="N15" s="775"/>
      <c r="Q15" s="351"/>
      <c r="R15" s="351"/>
      <c r="S15" s="351"/>
      <c r="T15" s="351"/>
      <c r="U15" s="351"/>
      <c r="V15" s="351"/>
      <c r="W15" s="351"/>
      <c r="X15" s="351"/>
      <c r="Y15" s="351"/>
    </row>
    <row r="16" spans="1:25" s="249" customFormat="1" ht="17.100000000000001" customHeight="1">
      <c r="A16" s="753"/>
      <c r="B16" s="274" t="e">
        <f ca="1">INDIRECT(ADDRESS(3*O2-2+8,12,,,"급여대장"))</f>
        <v>#REF!</v>
      </c>
      <c r="C16" s="274" t="e">
        <f ca="1">INDIRECT(ADDRESS(3*O2-2+8,13,,,"급여대장"))</f>
        <v>#REF!</v>
      </c>
      <c r="D16" s="274" t="e">
        <f ca="1">INDIRECT(ADDRESS(3*O2-2+8,14,,,"급여대장"))</f>
        <v>#REF!</v>
      </c>
      <c r="E16" s="339"/>
      <c r="F16" s="768" t="e">
        <f ca="1">INDIRECT(ADDRESS(3*O2-2+8,15,,,"급여대장"))</f>
        <v>#REF!</v>
      </c>
      <c r="G16" s="257"/>
      <c r="H16" s="262"/>
      <c r="I16" s="753"/>
      <c r="J16" s="274" t="e">
        <f t="shared" ca="1" si="2"/>
        <v>#REF!</v>
      </c>
      <c r="K16" s="274" t="e">
        <f t="shared" ca="1" si="0"/>
        <v>#REF!</v>
      </c>
      <c r="L16" s="274" t="e">
        <f t="shared" ca="1" si="0"/>
        <v>#REF!</v>
      </c>
      <c r="M16" s="274"/>
      <c r="N16" s="768" t="e">
        <f ca="1">F16</f>
        <v>#REF!</v>
      </c>
      <c r="Q16" s="352"/>
      <c r="R16" s="351"/>
      <c r="S16" s="351"/>
      <c r="T16" s="351"/>
      <c r="U16" s="351"/>
      <c r="V16" s="351"/>
      <c r="W16" s="351"/>
      <c r="X16" s="351"/>
      <c r="Y16" s="351"/>
    </row>
    <row r="17" spans="1:25" s="249" customFormat="1" ht="17.100000000000001" customHeight="1">
      <c r="A17" s="753"/>
      <c r="B17" s="274" t="e">
        <f ca="1">INDIRECT(ADDRESS(3*O2-2+9,12,,,"급여대장"))</f>
        <v>#REF!</v>
      </c>
      <c r="C17" s="274" t="e">
        <f ca="1">INDIRECT(ADDRESS(3*O2-2+9,13,,,"급여대장"))</f>
        <v>#REF!</v>
      </c>
      <c r="D17" s="274" t="e">
        <f ca="1">INDIRECT(ADDRESS(3*O2-2+9,14,,,"급여대장"))</f>
        <v>#REF!</v>
      </c>
      <c r="E17" s="340"/>
      <c r="F17" s="768"/>
      <c r="G17" s="257"/>
      <c r="H17" s="262"/>
      <c r="I17" s="753"/>
      <c r="J17" s="274" t="e">
        <f t="shared" ca="1" si="2"/>
        <v>#REF!</v>
      </c>
      <c r="K17" s="274" t="e">
        <f t="shared" ca="1" si="0"/>
        <v>#REF!</v>
      </c>
      <c r="L17" s="274" t="e">
        <f t="shared" ca="1" si="0"/>
        <v>#REF!</v>
      </c>
      <c r="M17" s="274"/>
      <c r="N17" s="768"/>
      <c r="P17" s="250"/>
      <c r="Q17" s="351"/>
      <c r="R17" s="351"/>
      <c r="S17" s="351"/>
      <c r="T17" s="351"/>
      <c r="U17" s="351"/>
      <c r="V17" s="351"/>
      <c r="W17" s="351"/>
      <c r="X17" s="351"/>
      <c r="Y17" s="351"/>
    </row>
    <row r="18" spans="1:25" s="249" customFormat="1" ht="17.100000000000001" customHeight="1" thickBot="1">
      <c r="A18" s="754"/>
      <c r="B18" s="274" t="e">
        <f ca="1">INDIRECT(ADDRESS(3*O2-2+10,12,,,"급여대장"))</f>
        <v>#REF!</v>
      </c>
      <c r="C18" s="274" t="e">
        <f ca="1">INDIRECT(ADDRESS(3*O2-2+10,13,,,"급여대장"))</f>
        <v>#REF!</v>
      </c>
      <c r="D18" s="274" t="e">
        <f ca="1">INDIRECT(ADDRESS(3*O2-2+10,14,,,"급여대장"))</f>
        <v>#REF!</v>
      </c>
      <c r="E18" s="341"/>
      <c r="F18" s="769"/>
      <c r="G18" s="257"/>
      <c r="H18" s="262"/>
      <c r="I18" s="754"/>
      <c r="J18" s="274" t="e">
        <f t="shared" ca="1" si="2"/>
        <v>#REF!</v>
      </c>
      <c r="K18" s="274" t="e">
        <f t="shared" ca="1" si="0"/>
        <v>#REF!</v>
      </c>
      <c r="L18" s="274" t="e">
        <f t="shared" ca="1" si="0"/>
        <v>#REF!</v>
      </c>
      <c r="M18" s="274"/>
      <c r="N18" s="769"/>
      <c r="P18" s="250"/>
      <c r="Q18" s="351"/>
      <c r="R18" s="351"/>
      <c r="S18" s="351"/>
      <c r="T18" s="351"/>
      <c r="U18" s="351"/>
      <c r="V18" s="351"/>
      <c r="W18" s="351"/>
      <c r="X18" s="351"/>
      <c r="Y18" s="351"/>
    </row>
    <row r="19" spans="1:25" s="249" customFormat="1" ht="17.100000000000001" customHeight="1">
      <c r="A19" s="752" t="e">
        <f ca="1">INDIRECT(ADDRESS(5,4,,,"급여대장"))</f>
        <v>#REF!</v>
      </c>
      <c r="B19" s="270" t="e">
        <f ca="1">INDIRECT(ADDRESS(6,4,,,"급여대장"))</f>
        <v>#REF!</v>
      </c>
      <c r="C19" s="270" t="e">
        <f ca="1">INDIRECT(ADDRESS(6,5,,,"급여대장"))</f>
        <v>#REF!</v>
      </c>
      <c r="D19" s="270" t="e">
        <f ca="1">INDIRECT(ADDRESS(6,6,,,"급여대장"))</f>
        <v>#REF!</v>
      </c>
      <c r="E19" s="755" t="e">
        <f ca="1">INDIRECT(ADDRESS(6,16,,,"급여대장"))</f>
        <v>#REF!</v>
      </c>
      <c r="F19" s="758" t="e">
        <f ca="1">INDIRECT(ADDRESS(5,17,,,"급여대장"))</f>
        <v>#REF!</v>
      </c>
      <c r="G19" s="257"/>
      <c r="H19" s="262"/>
      <c r="I19" s="752" t="e">
        <f ca="1">A19</f>
        <v>#REF!</v>
      </c>
      <c r="J19" s="270" t="e">
        <f ca="1">B19</f>
        <v>#REF!</v>
      </c>
      <c r="K19" s="270" t="e">
        <f t="shared" ca="1" si="0"/>
        <v>#REF!</v>
      </c>
      <c r="L19" s="270" t="e">
        <f t="shared" ca="1" si="0"/>
        <v>#REF!</v>
      </c>
      <c r="M19" s="761" t="e">
        <f ca="1">INDIRECT(ADDRESS(6,16,,,"급여대장"))</f>
        <v>#REF!</v>
      </c>
      <c r="N19" s="758" t="e">
        <f ca="1">F19</f>
        <v>#REF!</v>
      </c>
      <c r="P19" s="251"/>
      <c r="Q19" s="351"/>
      <c r="R19" s="351"/>
      <c r="S19" s="351"/>
      <c r="T19" s="351"/>
      <c r="U19" s="351"/>
      <c r="V19" s="351"/>
      <c r="W19" s="351"/>
      <c r="X19" s="351"/>
      <c r="Y19" s="351"/>
    </row>
    <row r="20" spans="1:25" s="249" customFormat="1" ht="17.100000000000001" customHeight="1">
      <c r="A20" s="753"/>
      <c r="B20" s="271" t="e">
        <f ca="1">INDIRECT(ADDRESS(7,4,,,"급여대장"))</f>
        <v>#REF!</v>
      </c>
      <c r="C20" s="271" t="e">
        <f ca="1">INDIRECT(ADDRESS(7,5,,,"급여대장"))</f>
        <v>#REF!</v>
      </c>
      <c r="D20" s="271" t="e">
        <f ca="1">INDIRECT(ADDRESS(7,6,,,"급여대장"))</f>
        <v>#REF!</v>
      </c>
      <c r="E20" s="756"/>
      <c r="F20" s="759"/>
      <c r="G20" s="257"/>
      <c r="H20" s="262"/>
      <c r="I20" s="753"/>
      <c r="J20" s="271" t="e">
        <f t="shared" ref="J20:J24" ca="1" si="3">B20</f>
        <v>#REF!</v>
      </c>
      <c r="K20" s="271" t="e">
        <f t="shared" ca="1" si="0"/>
        <v>#REF!</v>
      </c>
      <c r="L20" s="271" t="e">
        <f t="shared" ca="1" si="0"/>
        <v>#REF!</v>
      </c>
      <c r="M20" s="762"/>
      <c r="N20" s="759"/>
      <c r="P20" s="250"/>
      <c r="Q20" s="351"/>
      <c r="R20" s="351"/>
      <c r="S20" s="351"/>
      <c r="T20" s="351"/>
      <c r="U20" s="351"/>
      <c r="V20" s="351"/>
      <c r="W20" s="351"/>
      <c r="X20" s="351"/>
      <c r="Y20" s="351"/>
    </row>
    <row r="21" spans="1:25" s="249" customFormat="1" ht="17.100000000000001" customHeight="1">
      <c r="A21" s="753"/>
      <c r="B21" s="272" t="e">
        <f ca="1">INDIRECT(ADDRESS(8,4,,,"급여대장"))</f>
        <v>#REF!</v>
      </c>
      <c r="C21" s="272" t="e">
        <f ca="1">INDIRECT(ADDRESS(8,5,,,"급여대장"))</f>
        <v>#REF!</v>
      </c>
      <c r="D21" s="272" t="e">
        <f ca="1">INDIRECT(ADDRESS(8,6,,,"급여대장"))</f>
        <v>#REF!</v>
      </c>
      <c r="E21" s="757"/>
      <c r="F21" s="760"/>
      <c r="G21" s="257"/>
      <c r="H21" s="262"/>
      <c r="I21" s="753"/>
      <c r="J21" s="272" t="e">
        <f t="shared" ca="1" si="3"/>
        <v>#REF!</v>
      </c>
      <c r="K21" s="272" t="e">
        <f t="shared" ca="1" si="0"/>
        <v>#REF!</v>
      </c>
      <c r="L21" s="272" t="e">
        <f t="shared" ca="1" si="0"/>
        <v>#REF!</v>
      </c>
      <c r="M21" s="763"/>
      <c r="N21" s="760"/>
      <c r="P21" s="250"/>
      <c r="V21" s="351"/>
      <c r="W21" s="351"/>
      <c r="X21" s="351"/>
      <c r="Y21" s="351"/>
    </row>
    <row r="22" spans="1:25" s="249" customFormat="1" ht="17.100000000000001" customHeight="1">
      <c r="A22" s="753"/>
      <c r="B22" s="280" t="e">
        <f ca="1">INDIRECT(ADDRESS(3*O2-2+8,4,,,"급여대장"))</f>
        <v>#REF!</v>
      </c>
      <c r="C22" s="280" t="e">
        <f ca="1">INDIRECT(ADDRESS(3*O2-2+8,5,,,"급여대장"))</f>
        <v>#REF!</v>
      </c>
      <c r="D22" s="280" t="e">
        <f ca="1">INDIRECT(ADDRESS(3*O2-2+8,6,,,"급여대장"))</f>
        <v>#REF!</v>
      </c>
      <c r="E22" s="764" t="e">
        <f ca="1">INDIRECT(ADDRESS(3*O2-2+8,16,,,"급여대장"))</f>
        <v>#REF!</v>
      </c>
      <c r="F22" s="767" t="e">
        <f ca="1">INDIRECT(ADDRESS(3*O2-2+8,17,,,"급여대장"))</f>
        <v>#REF!</v>
      </c>
      <c r="G22" s="257"/>
      <c r="H22" s="262"/>
      <c r="I22" s="753"/>
      <c r="J22" s="281" t="e">
        <f t="shared" ca="1" si="3"/>
        <v>#REF!</v>
      </c>
      <c r="K22" s="281" t="e">
        <f t="shared" ca="1" si="0"/>
        <v>#REF!</v>
      </c>
      <c r="L22" s="281" t="e">
        <f t="shared" ca="1" si="0"/>
        <v>#REF!</v>
      </c>
      <c r="M22" s="770" t="e">
        <f ca="1">E22</f>
        <v>#REF!</v>
      </c>
      <c r="N22" s="768" t="e">
        <f ca="1">F22</f>
        <v>#REF!</v>
      </c>
      <c r="P22" s="250"/>
      <c r="Q22" s="351"/>
      <c r="R22" s="351"/>
      <c r="S22" s="351"/>
      <c r="T22" s="351"/>
      <c r="U22" s="351"/>
      <c r="V22" s="351"/>
      <c r="W22" s="351"/>
      <c r="X22" s="351"/>
      <c r="Y22" s="351"/>
    </row>
    <row r="23" spans="1:25" s="249" customFormat="1" ht="17.100000000000001" customHeight="1">
      <c r="A23" s="753"/>
      <c r="B23" s="282" t="e">
        <f ca="1">INDIRECT(ADDRESS(3*O2-2+9,4,,,"급여대장"))</f>
        <v>#REF!</v>
      </c>
      <c r="C23" s="282" t="e">
        <f ca="1">INDIRECT(ADDRESS(3*O2-2+9,5,,,"급여대장"))</f>
        <v>#REF!</v>
      </c>
      <c r="D23" s="282" t="e">
        <f ca="1">INDIRECT(ADDRESS(3*O2-2+9,6,,,"급여대장"))</f>
        <v>#REF!</v>
      </c>
      <c r="E23" s="765"/>
      <c r="F23" s="768"/>
      <c r="G23" s="257"/>
      <c r="H23" s="262"/>
      <c r="I23" s="753"/>
      <c r="J23" s="282" t="e">
        <f t="shared" ca="1" si="3"/>
        <v>#REF!</v>
      </c>
      <c r="K23" s="282" t="e">
        <f t="shared" ca="1" si="0"/>
        <v>#REF!</v>
      </c>
      <c r="L23" s="282" t="e">
        <f t="shared" ca="1" si="0"/>
        <v>#REF!</v>
      </c>
      <c r="M23" s="771"/>
      <c r="N23" s="768"/>
      <c r="P23" s="250"/>
      <c r="Q23" s="351"/>
      <c r="R23" s="351"/>
      <c r="S23" s="351"/>
      <c r="T23" s="351"/>
      <c r="U23" s="351"/>
      <c r="V23" s="351"/>
      <c r="W23" s="351"/>
      <c r="X23" s="351"/>
      <c r="Y23" s="351"/>
    </row>
    <row r="24" spans="1:25" s="249" customFormat="1" ht="17.100000000000001" customHeight="1" thickBot="1">
      <c r="A24" s="754"/>
      <c r="B24" s="283" t="e">
        <f ca="1">INDIRECT(ADDRESS(3*O2-2+10,4,,,"급여대장"))</f>
        <v>#REF!</v>
      </c>
      <c r="C24" s="283" t="e">
        <f ca="1">INDIRECT(ADDRESS(3*O2-2+10,5,,,"급여대장"))</f>
        <v>#REF!</v>
      </c>
      <c r="D24" s="283" t="e">
        <f ca="1">INDIRECT(ADDRESS(3*O2-2+10,6,,,"급여대장"))</f>
        <v>#REF!</v>
      </c>
      <c r="E24" s="766"/>
      <c r="F24" s="769"/>
      <c r="G24" s="257"/>
      <c r="H24" s="262"/>
      <c r="I24" s="754"/>
      <c r="J24" s="283" t="e">
        <f t="shared" ca="1" si="3"/>
        <v>#REF!</v>
      </c>
      <c r="K24" s="283" t="e">
        <f t="shared" ca="1" si="0"/>
        <v>#REF!</v>
      </c>
      <c r="L24" s="283" t="e">
        <f t="shared" ca="1" si="0"/>
        <v>#REF!</v>
      </c>
      <c r="M24" s="772"/>
      <c r="N24" s="769"/>
      <c r="P24" s="250"/>
      <c r="Q24" s="351"/>
      <c r="R24" s="351"/>
      <c r="S24" s="351"/>
      <c r="T24" s="351"/>
      <c r="U24" s="351"/>
      <c r="V24" s="351"/>
      <c r="W24" s="351"/>
      <c r="X24" s="351"/>
      <c r="Y24" s="351"/>
    </row>
    <row r="25" spans="1:25" s="249" customFormat="1" ht="17.100000000000001" customHeight="1">
      <c r="A25" s="744" t="s">
        <v>197</v>
      </c>
      <c r="B25" s="284" t="e">
        <f ca="1">B7</f>
        <v>#REF!</v>
      </c>
      <c r="C25" s="285" t="e">
        <f ca="1">INDIRECT(ADDRESS(3*O2-2+10,3,,,"급여대장"))</f>
        <v>#REF!</v>
      </c>
      <c r="D25" s="286" t="e">
        <f ca="1">"x "&amp;ROUND(B22,1)</f>
        <v>#REF!</v>
      </c>
      <c r="E25" s="358" t="e">
        <f ca="1">"주휴"&amp;VLOOKUP(C3,출근대장!$B$6:$BA$191,38,0)&amp;"시간 포함"</f>
        <v>#REF!</v>
      </c>
      <c r="F25" s="342" t="e">
        <f ca="1">B10</f>
        <v>#REF!</v>
      </c>
      <c r="G25" s="257"/>
      <c r="H25" s="262"/>
      <c r="I25" s="744" t="str">
        <f>A25</f>
        <v>임금계산방법</v>
      </c>
      <c r="J25" s="287" t="e">
        <f ca="1">B25</f>
        <v>#REF!</v>
      </c>
      <c r="K25" s="288" t="e">
        <f t="shared" ca="1" si="0"/>
        <v>#REF!</v>
      </c>
      <c r="L25" s="286" t="e">
        <f t="shared" ca="1" si="0"/>
        <v>#REF!</v>
      </c>
      <c r="M25" s="358" t="e">
        <f t="shared" ca="1" si="0"/>
        <v>#REF!</v>
      </c>
      <c r="N25" s="342" t="e">
        <f t="shared" ca="1" si="0"/>
        <v>#REF!</v>
      </c>
      <c r="P25" s="250"/>
      <c r="Q25" s="351"/>
      <c r="R25" s="351"/>
      <c r="S25" s="351"/>
      <c r="T25" s="351"/>
      <c r="U25" s="351"/>
      <c r="V25" s="351"/>
      <c r="W25" s="351"/>
      <c r="X25" s="351"/>
      <c r="Y25" s="351"/>
    </row>
    <row r="26" spans="1:25" s="249" customFormat="1" ht="17.100000000000001" customHeight="1">
      <c r="A26" s="745"/>
      <c r="B26" s="289" t="e">
        <f ca="1">C7</f>
        <v>#REF!</v>
      </c>
      <c r="C26" s="290" t="e">
        <f ca="1">INDIRECT(ADDRESS(3*O2-2+10,3,,,"급여대장"))</f>
        <v>#REF!</v>
      </c>
      <c r="D26" s="291" t="e">
        <f ca="1">"x "&amp;ROUND(C22,1)&amp;" x"</f>
        <v>#REF!</v>
      </c>
      <c r="E26" s="297">
        <v>1.5</v>
      </c>
      <c r="F26" s="343" t="e">
        <f ca="1">C10</f>
        <v>#REF!</v>
      </c>
      <c r="G26" s="257"/>
      <c r="H26" s="262"/>
      <c r="I26" s="745"/>
      <c r="J26" s="293" t="e">
        <f t="shared" ref="J26:J27" ca="1" si="4">B26</f>
        <v>#REF!</v>
      </c>
      <c r="K26" s="294" t="e">
        <f t="shared" ca="1" si="0"/>
        <v>#REF!</v>
      </c>
      <c r="L26" s="295" t="e">
        <f t="shared" ca="1" si="0"/>
        <v>#REF!</v>
      </c>
      <c r="M26" s="365">
        <f t="shared" si="0"/>
        <v>1.5</v>
      </c>
      <c r="N26" s="343" t="e">
        <f t="shared" ca="1" si="0"/>
        <v>#REF!</v>
      </c>
      <c r="P26" s="250"/>
      <c r="Q26" s="351"/>
      <c r="R26" s="351"/>
      <c r="S26" s="351"/>
      <c r="T26" s="351"/>
      <c r="U26" s="351"/>
      <c r="V26" s="351"/>
      <c r="W26" s="351"/>
      <c r="X26" s="351"/>
      <c r="Y26" s="351"/>
    </row>
    <row r="27" spans="1:25" s="249" customFormat="1" ht="17.100000000000001" customHeight="1">
      <c r="A27" s="745"/>
      <c r="B27" s="289" t="e">
        <f ca="1">D7</f>
        <v>#REF!</v>
      </c>
      <c r="C27" s="330" t="e">
        <f ca="1">INDIRECT(ADDRESS(3*O2-2+10,3,,,"급여대장"))</f>
        <v>#REF!</v>
      </c>
      <c r="D27" s="296" t="e">
        <f ca="1">"x "&amp;ROUND(D22,1)&amp;" x"</f>
        <v>#REF!</v>
      </c>
      <c r="E27" s="297">
        <v>1.5</v>
      </c>
      <c r="F27" s="343" t="e">
        <f ca="1">D10</f>
        <v>#REF!</v>
      </c>
      <c r="G27" s="257"/>
      <c r="H27" s="262"/>
      <c r="I27" s="745"/>
      <c r="J27" s="293" t="e">
        <f t="shared" ca="1" si="4"/>
        <v>#REF!</v>
      </c>
      <c r="K27" s="294" t="e">
        <f t="shared" ca="1" si="0"/>
        <v>#REF!</v>
      </c>
      <c r="L27" s="295" t="e">
        <f t="shared" ca="1" si="0"/>
        <v>#REF!</v>
      </c>
      <c r="M27" s="297">
        <f t="shared" si="0"/>
        <v>1.5</v>
      </c>
      <c r="N27" s="343" t="e">
        <f t="shared" ca="1" si="0"/>
        <v>#REF!</v>
      </c>
      <c r="P27" s="250"/>
      <c r="Q27" s="351"/>
      <c r="R27" s="351"/>
      <c r="S27" s="351"/>
      <c r="T27" s="351"/>
      <c r="U27" s="351"/>
      <c r="V27" s="351"/>
      <c r="W27" s="351"/>
      <c r="X27" s="351"/>
      <c r="Y27" s="351"/>
    </row>
    <row r="28" spans="1:25" s="249" customFormat="1" ht="17.100000000000001" customHeight="1">
      <c r="A28" s="745"/>
      <c r="B28" s="289" t="e">
        <f ca="1">B8</f>
        <v>#REF!</v>
      </c>
      <c r="C28" s="330" t="e">
        <f ca="1">INDIRECT(ADDRESS(3*O2-2+10,3,,,"급여대장"))</f>
        <v>#REF!</v>
      </c>
      <c r="D28" s="296" t="e">
        <f ca="1">"x "&amp;ROUND(B23,1)&amp;" x"</f>
        <v>#REF!</v>
      </c>
      <c r="E28" s="297">
        <v>0.5</v>
      </c>
      <c r="F28" s="344" t="e">
        <f ca="1">B11</f>
        <v>#REF!</v>
      </c>
      <c r="G28" s="257"/>
      <c r="H28" s="262"/>
      <c r="I28" s="745"/>
      <c r="J28" s="293" t="e">
        <f ca="1">B28</f>
        <v>#REF!</v>
      </c>
      <c r="K28" s="294" t="e">
        <f t="shared" ca="1" si="0"/>
        <v>#REF!</v>
      </c>
      <c r="L28" s="295" t="e">
        <f t="shared" ca="1" si="0"/>
        <v>#REF!</v>
      </c>
      <c r="M28" s="297">
        <f t="shared" si="0"/>
        <v>0.5</v>
      </c>
      <c r="N28" s="343" t="e">
        <f t="shared" ca="1" si="0"/>
        <v>#REF!</v>
      </c>
      <c r="P28" s="250"/>
      <c r="Q28" s="351"/>
      <c r="R28" s="351"/>
      <c r="S28" s="351"/>
      <c r="T28" s="351"/>
      <c r="U28" s="351"/>
      <c r="V28" s="351"/>
      <c r="W28" s="351"/>
      <c r="X28" s="351"/>
      <c r="Y28" s="351"/>
    </row>
    <row r="29" spans="1:25" s="249" customFormat="1" ht="17.100000000000001" customHeight="1">
      <c r="A29" s="745"/>
      <c r="B29" s="289" t="e">
        <f ca="1">C8</f>
        <v>#REF!</v>
      </c>
      <c r="C29" s="330" t="e">
        <f ca="1">INDIRECT(ADDRESS(3*O2-2+10,3,,,"급여대장"))</f>
        <v>#REF!</v>
      </c>
      <c r="D29" s="296" t="e">
        <f ca="1">"x "&amp;ROUND(C23,1)&amp;" x"</f>
        <v>#REF!</v>
      </c>
      <c r="E29" s="297">
        <v>1.5</v>
      </c>
      <c r="F29" s="343" t="e">
        <f ca="1">C11</f>
        <v>#REF!</v>
      </c>
      <c r="G29" s="257"/>
      <c r="H29" s="262"/>
      <c r="I29" s="745"/>
      <c r="J29" s="293" t="e">
        <f ca="1">B29</f>
        <v>#REF!</v>
      </c>
      <c r="K29" s="294" t="e">
        <f t="shared" ca="1" si="0"/>
        <v>#REF!</v>
      </c>
      <c r="L29" s="295" t="e">
        <f t="shared" ca="1" si="0"/>
        <v>#REF!</v>
      </c>
      <c r="M29" s="297">
        <f t="shared" si="0"/>
        <v>1.5</v>
      </c>
      <c r="N29" s="343" t="e">
        <f t="shared" ca="1" si="0"/>
        <v>#REF!</v>
      </c>
      <c r="P29" s="250"/>
      <c r="Q29" s="351"/>
      <c r="R29" s="351"/>
      <c r="S29" s="351"/>
      <c r="T29" s="351"/>
      <c r="U29" s="351"/>
      <c r="V29" s="351"/>
      <c r="W29" s="351"/>
      <c r="X29" s="351"/>
      <c r="Y29" s="351"/>
    </row>
    <row r="30" spans="1:25" s="249" customFormat="1" ht="17.100000000000001" customHeight="1">
      <c r="A30" s="745"/>
      <c r="B30" s="289" t="e">
        <f ca="1">D8</f>
        <v>#REF!</v>
      </c>
      <c r="C30" s="330" t="e">
        <f ca="1">INDIRECT(ADDRESS(3*O2-2+10,3,,,"급여대장"))</f>
        <v>#REF!</v>
      </c>
      <c r="D30" s="296" t="e">
        <f ca="1">"x "&amp;ROUND(D11/C30,1)&amp;" x"</f>
        <v>#REF!</v>
      </c>
      <c r="E30" s="297">
        <v>1</v>
      </c>
      <c r="F30" s="343" t="e">
        <f ca="1">D11</f>
        <v>#REF!</v>
      </c>
      <c r="G30" s="257"/>
      <c r="H30" s="262"/>
      <c r="I30" s="745"/>
      <c r="J30" s="293" t="e">
        <f ca="1">B30</f>
        <v>#REF!</v>
      </c>
      <c r="K30" s="294" t="e">
        <f t="shared" ca="1" si="0"/>
        <v>#REF!</v>
      </c>
      <c r="L30" s="295" t="e">
        <f t="shared" ca="1" si="0"/>
        <v>#REF!</v>
      </c>
      <c r="M30" s="297">
        <f t="shared" si="0"/>
        <v>1</v>
      </c>
      <c r="N30" s="343" t="e">
        <f t="shared" ca="1" si="0"/>
        <v>#REF!</v>
      </c>
      <c r="P30" s="250"/>
      <c r="Q30" s="351"/>
      <c r="R30" s="351"/>
      <c r="S30" s="351"/>
      <c r="T30" s="351"/>
      <c r="U30" s="351"/>
      <c r="V30" s="351"/>
      <c r="W30" s="351"/>
      <c r="X30" s="351"/>
      <c r="Y30" s="351"/>
    </row>
    <row r="31" spans="1:25" s="249" customFormat="1" ht="17.100000000000001" customHeight="1">
      <c r="A31" s="745"/>
      <c r="B31" s="298" t="e">
        <f ca="1">E7</f>
        <v>#REF!</v>
      </c>
      <c r="C31" s="331" t="e">
        <f ca="1">E10/D24*(DAY(DATE(YEAR($B$1),MONTH($B$1)+1,1)-1))</f>
        <v>#REF!</v>
      </c>
      <c r="D31" s="291" t="e">
        <f ca="1">"÷ "&amp;DAY(DATE(YEAR($B$1),MONTH($B$1)+1,1)-1)&amp;" x"</f>
        <v>#REF!</v>
      </c>
      <c r="E31" s="292" t="e">
        <f ca="1">INDIRECT(ADDRESS(3*O2-2+10,6,,,"급여대장"))</f>
        <v>#REF!</v>
      </c>
      <c r="F31" s="343" t="s">
        <v>198</v>
      </c>
      <c r="G31" s="257"/>
      <c r="H31" s="262"/>
      <c r="I31" s="745"/>
      <c r="J31" s="300" t="e">
        <f ca="1">B31</f>
        <v>#REF!</v>
      </c>
      <c r="K31" s="294" t="e">
        <f t="shared" ca="1" si="0"/>
        <v>#REF!</v>
      </c>
      <c r="L31" s="295" t="e">
        <f t="shared" ca="1" si="0"/>
        <v>#REF!</v>
      </c>
      <c r="M31" s="359" t="e">
        <f t="shared" ca="1" si="0"/>
        <v>#REF!</v>
      </c>
      <c r="N31" s="343" t="str">
        <f t="shared" si="0"/>
        <v>일할계산</v>
      </c>
      <c r="P31" s="250"/>
      <c r="Q31" s="351"/>
      <c r="R31" s="351"/>
      <c r="S31" s="351"/>
      <c r="T31" s="351"/>
      <c r="U31" s="351"/>
      <c r="V31" s="351"/>
      <c r="W31" s="351"/>
      <c r="X31" s="351"/>
      <c r="Y31" s="351"/>
    </row>
    <row r="32" spans="1:25" s="249" customFormat="1" ht="17.100000000000001" customHeight="1">
      <c r="A32" s="745"/>
      <c r="B32" s="298" t="e">
        <f ca="1">E8</f>
        <v>#REF!</v>
      </c>
      <c r="C32" s="299" t="e">
        <f ca="1">E11/D24*(DAY(DATE(YEAR($B$1),MONTH($B$1)+1,1)-1))</f>
        <v>#REF!</v>
      </c>
      <c r="D32" s="291" t="e">
        <f ca="1">"÷ "&amp;DAY(DATE(YEAR($B$1),MONTH($B$1)+1,1)-1)&amp;" x"</f>
        <v>#REF!</v>
      </c>
      <c r="E32" s="292" t="e">
        <f ca="1">INDIRECT(ADDRESS(3*O2-2+10,6,,,"급여대장"))</f>
        <v>#REF!</v>
      </c>
      <c r="F32" s="343" t="s">
        <v>199</v>
      </c>
      <c r="G32" s="257"/>
      <c r="H32" s="262"/>
      <c r="I32" s="745"/>
      <c r="J32" s="300" t="e">
        <f t="shared" ref="J32:J37" ca="1" si="5">B32</f>
        <v>#REF!</v>
      </c>
      <c r="K32" s="294" t="e">
        <f t="shared" ca="1" si="0"/>
        <v>#REF!</v>
      </c>
      <c r="L32" s="295" t="e">
        <f t="shared" ca="1" si="0"/>
        <v>#REF!</v>
      </c>
      <c r="M32" s="359" t="e">
        <f t="shared" ca="1" si="0"/>
        <v>#REF!</v>
      </c>
      <c r="N32" s="343" t="str">
        <f t="shared" si="0"/>
        <v>일할계산</v>
      </c>
      <c r="P32" s="250"/>
      <c r="Q32" s="351"/>
      <c r="R32" s="351"/>
      <c r="S32" s="351"/>
      <c r="T32" s="351"/>
      <c r="U32" s="351"/>
      <c r="V32" s="351"/>
      <c r="W32" s="351"/>
      <c r="X32" s="351"/>
      <c r="Y32" s="351"/>
    </row>
    <row r="33" spans="1:25" s="249" customFormat="1" ht="17.100000000000001" customHeight="1">
      <c r="A33" s="745"/>
      <c r="B33" s="298" t="e">
        <f ca="1">B9</f>
        <v>#REF!</v>
      </c>
      <c r="C33" s="299"/>
      <c r="D33" s="291"/>
      <c r="E33" s="292"/>
      <c r="F33" s="343"/>
      <c r="G33" s="257"/>
      <c r="H33" s="262"/>
      <c r="I33" s="745"/>
      <c r="J33" s="300" t="e">
        <f t="shared" ca="1" si="5"/>
        <v>#REF!</v>
      </c>
      <c r="K33" s="301">
        <f>C33</f>
        <v>0</v>
      </c>
      <c r="L33" s="296">
        <f>D33</f>
        <v>0</v>
      </c>
      <c r="M33" s="302">
        <f>E33</f>
        <v>0</v>
      </c>
      <c r="N33" s="343">
        <f t="shared" ref="N33" si="6">F33</f>
        <v>0</v>
      </c>
      <c r="P33" s="250"/>
      <c r="Q33" s="351"/>
      <c r="R33" s="351"/>
      <c r="S33" s="351"/>
      <c r="T33" s="351"/>
      <c r="U33" s="351"/>
      <c r="V33" s="351"/>
      <c r="W33" s="351"/>
      <c r="X33" s="351"/>
      <c r="Y33" s="351"/>
    </row>
    <row r="34" spans="1:25" s="249" customFormat="1" ht="17.100000000000001" customHeight="1">
      <c r="A34" s="745"/>
      <c r="B34" s="300" t="e">
        <f ca="1">C9</f>
        <v>#REF!</v>
      </c>
      <c r="C34" s="303"/>
      <c r="D34" s="747"/>
      <c r="E34" s="747"/>
      <c r="F34" s="343"/>
      <c r="G34" s="257"/>
      <c r="H34" s="262"/>
      <c r="I34" s="745">
        <f>A34</f>
        <v>0</v>
      </c>
      <c r="J34" s="300" t="e">
        <f t="shared" ca="1" si="5"/>
        <v>#REF!</v>
      </c>
      <c r="K34" s="304"/>
      <c r="L34" s="295"/>
      <c r="M34" s="305"/>
      <c r="N34" s="343"/>
      <c r="P34" s="250"/>
      <c r="Q34" s="351"/>
      <c r="R34" s="351"/>
      <c r="S34" s="351"/>
      <c r="T34" s="351"/>
      <c r="U34" s="351"/>
      <c r="V34" s="351"/>
      <c r="W34" s="351"/>
      <c r="X34" s="351"/>
      <c r="Y34" s="351"/>
    </row>
    <row r="35" spans="1:25" s="249" customFormat="1" ht="17.100000000000001" customHeight="1">
      <c r="A35" s="745"/>
      <c r="B35" s="300" t="e">
        <f ca="1">D9</f>
        <v>#REF!</v>
      </c>
      <c r="C35" s="330" t="e">
        <f ca="1">INDIRECT(ADDRESS(3*O2-2+10,3,,,"급여대장"))</f>
        <v>#REF!</v>
      </c>
      <c r="D35" s="295" t="e">
        <f ca="1">"x "&amp;_xlfn.XLOOKUP(Q2,#REF!,#REF!)&amp;" x"</f>
        <v>#REF!</v>
      </c>
      <c r="E35" s="363" t="e">
        <f ca="1">F35/C35/_xlfn.XLOOKUP(Q2,#REF!,#REF!)</f>
        <v>#REF!</v>
      </c>
      <c r="F35" s="344" t="e">
        <f ca="1">D12</f>
        <v>#REF!</v>
      </c>
      <c r="G35" s="257"/>
      <c r="H35" s="262"/>
      <c r="I35" s="745"/>
      <c r="J35" s="300" t="e">
        <f t="shared" ca="1" si="5"/>
        <v>#REF!</v>
      </c>
      <c r="K35" s="301" t="e">
        <f ca="1">C35</f>
        <v>#REF!</v>
      </c>
      <c r="L35" s="296" t="e">
        <f ca="1">D35</f>
        <v>#REF!</v>
      </c>
      <c r="M35" s="364" t="e">
        <f ca="1">E35</f>
        <v>#REF!</v>
      </c>
      <c r="N35" s="343" t="e">
        <f t="shared" ref="N35" ca="1" si="7">F35</f>
        <v>#REF!</v>
      </c>
      <c r="P35" s="250"/>
      <c r="Q35" s="351"/>
      <c r="R35" s="351"/>
      <c r="S35" s="351"/>
      <c r="T35" s="351"/>
      <c r="U35" s="351"/>
      <c r="V35" s="351"/>
      <c r="W35" s="351"/>
      <c r="X35" s="351"/>
      <c r="Y35" s="351"/>
    </row>
    <row r="36" spans="1:25" s="249" customFormat="1" ht="17.100000000000001" customHeight="1" thickBot="1">
      <c r="A36" s="746"/>
      <c r="B36" s="307" t="e">
        <f ca="1">E9</f>
        <v>#REF!</v>
      </c>
      <c r="C36" s="308"/>
      <c r="D36" s="309"/>
      <c r="E36" s="310"/>
      <c r="F36" s="345"/>
      <c r="G36" s="257"/>
      <c r="H36" s="262"/>
      <c r="I36" s="746"/>
      <c r="J36" s="307" t="e">
        <f t="shared" ca="1" si="5"/>
        <v>#REF!</v>
      </c>
      <c r="K36" s="311"/>
      <c r="L36" s="309"/>
      <c r="M36" s="312"/>
      <c r="N36" s="348"/>
      <c r="P36" s="250"/>
    </row>
    <row r="37" spans="1:25" s="249" customFormat="1" ht="17.100000000000001" customHeight="1">
      <c r="A37" s="745" t="s">
        <v>200</v>
      </c>
      <c r="B37" s="313" t="e">
        <f ca="1">B15</f>
        <v>#REF!</v>
      </c>
      <c r="C37" s="314"/>
      <c r="D37" s="315"/>
      <c r="E37" s="316"/>
      <c r="F37" s="346"/>
      <c r="G37" s="257"/>
      <c r="H37" s="262"/>
      <c r="I37" s="745" t="str">
        <f>A37</f>
        <v>공제방법</v>
      </c>
      <c r="J37" s="313" t="e">
        <f t="shared" ca="1" si="5"/>
        <v>#REF!</v>
      </c>
      <c r="K37" s="317"/>
      <c r="L37" s="318"/>
      <c r="M37" s="319"/>
      <c r="N37" s="349"/>
      <c r="P37" s="250"/>
    </row>
    <row r="38" spans="1:25" s="249" customFormat="1" ht="17.100000000000001" customHeight="1">
      <c r="A38" s="745"/>
      <c r="B38" s="320" t="e">
        <f ca="1">C15</f>
        <v>#REF!</v>
      </c>
      <c r="C38" s="303"/>
      <c r="D38" s="306"/>
      <c r="E38" s="321"/>
      <c r="F38" s="347"/>
      <c r="G38" s="257"/>
      <c r="H38" s="262"/>
      <c r="I38" s="745"/>
      <c r="J38" s="322" t="e">
        <f ca="1">B38</f>
        <v>#REF!</v>
      </c>
      <c r="K38" s="304"/>
      <c r="L38" s="306"/>
      <c r="M38" s="323"/>
      <c r="N38" s="347"/>
      <c r="P38" s="250"/>
    </row>
    <row r="39" spans="1:25" s="249" customFormat="1" ht="17.100000000000001" customHeight="1">
      <c r="A39" s="745"/>
      <c r="B39" s="320" t="e">
        <f ca="1">D15</f>
        <v>#REF!</v>
      </c>
      <c r="C39" s="303"/>
      <c r="D39" s="306"/>
      <c r="E39" s="321"/>
      <c r="F39" s="347"/>
      <c r="G39" s="257"/>
      <c r="H39" s="262"/>
      <c r="I39" s="745"/>
      <c r="J39" s="322" t="e">
        <f t="shared" ref="J39:J40" ca="1" si="8">B39</f>
        <v>#REF!</v>
      </c>
      <c r="K39" s="304"/>
      <c r="L39" s="306"/>
      <c r="M39" s="323"/>
      <c r="N39" s="347"/>
      <c r="P39" s="250"/>
    </row>
    <row r="40" spans="1:25" s="249" customFormat="1" ht="17.100000000000001" customHeight="1" thickBot="1">
      <c r="A40" s="746"/>
      <c r="B40" s="324"/>
      <c r="C40" s="308"/>
      <c r="D40" s="309"/>
      <c r="E40" s="325"/>
      <c r="F40" s="345"/>
      <c r="G40" s="257"/>
      <c r="H40" s="262"/>
      <c r="I40" s="746"/>
      <c r="J40" s="307">
        <f t="shared" si="8"/>
        <v>0</v>
      </c>
      <c r="K40" s="311"/>
      <c r="L40" s="309"/>
      <c r="M40" s="326"/>
      <c r="N40" s="345"/>
      <c r="P40" s="250"/>
    </row>
    <row r="41" spans="1:25" s="249" customFormat="1" ht="8.25" customHeight="1" thickBot="1">
      <c r="A41" s="327"/>
      <c r="B41" s="328"/>
      <c r="C41" s="328"/>
      <c r="D41" s="328"/>
      <c r="E41" s="327"/>
      <c r="F41" s="327"/>
      <c r="G41" s="257"/>
      <c r="H41" s="262"/>
      <c r="I41" s="327"/>
      <c r="J41" s="328"/>
      <c r="K41" s="328"/>
      <c r="L41" s="328"/>
      <c r="M41" s="327"/>
      <c r="N41" s="327"/>
      <c r="P41" s="250"/>
    </row>
    <row r="42" spans="1:25" s="249" customFormat="1" ht="15" customHeight="1" thickBot="1">
      <c r="A42" s="748"/>
      <c r="B42" s="749"/>
      <c r="C42" s="749"/>
      <c r="D42" s="749"/>
      <c r="E42" s="750"/>
      <c r="F42" s="743"/>
      <c r="G42" s="257"/>
      <c r="H42" s="262"/>
      <c r="I42" s="748"/>
      <c r="J42" s="749"/>
      <c r="K42" s="749"/>
      <c r="L42" s="751"/>
      <c r="M42" s="742"/>
      <c r="N42" s="743"/>
      <c r="P42" s="250"/>
    </row>
    <row r="43" spans="1:25" s="249" customFormat="1" ht="26.25" customHeight="1">
      <c r="A43" s="262" t="e">
        <f ca="1">INDIRECT(ADDRESS(4,1,,,"급여대장"))</f>
        <v>#REF!</v>
      </c>
      <c r="B43" s="329" t="e">
        <f ca="1">INDIRECT(ADDRESS(4,2,,,"급여대장"))</f>
        <v>#REF!</v>
      </c>
      <c r="C43" s="329"/>
      <c r="D43" s="329" t="s">
        <v>201</v>
      </c>
      <c r="E43" s="329"/>
      <c r="F43" s="329"/>
      <c r="G43" s="262"/>
      <c r="H43" s="262"/>
      <c r="I43" s="262" t="e">
        <f ca="1">A43</f>
        <v>#REF!</v>
      </c>
      <c r="J43" s="329" t="e">
        <f ca="1">B43</f>
        <v>#REF!</v>
      </c>
      <c r="K43" s="329"/>
      <c r="L43" s="329" t="str">
        <f>D43</f>
        <v>귀하의 노고에 감사드립니다.</v>
      </c>
      <c r="M43" s="329"/>
      <c r="N43" s="329"/>
      <c r="P43" s="250"/>
    </row>
    <row r="44" spans="1:25" s="246" customFormat="1" ht="39" customHeight="1">
      <c r="A44" s="253"/>
      <c r="B44" s="783" t="e">
        <f ca="1">INDIRECT(ADDRESS(2,6,,,"급여대장"))</f>
        <v>#REF!</v>
      </c>
      <c r="C44" s="783"/>
      <c r="D44" s="784" t="s">
        <v>195</v>
      </c>
      <c r="E44" s="784"/>
      <c r="F44" s="784"/>
      <c r="G44" s="253"/>
      <c r="H44" s="253"/>
      <c r="I44" s="253"/>
      <c r="J44" s="783" t="e">
        <f ca="1">B44</f>
        <v>#REF!</v>
      </c>
      <c r="K44" s="783"/>
      <c r="L44" s="784" t="str">
        <f>D44</f>
        <v>급여 명세서</v>
      </c>
      <c r="M44" s="784"/>
      <c r="N44" s="784"/>
    </row>
    <row r="45" spans="1:25" s="247" customFormat="1" ht="15" customHeight="1" thickBot="1">
      <c r="A45" s="254" t="e">
        <f ca="1">INDIRECT(ADDRESS(3*O45-2+8,1,,,"급여대장"))</f>
        <v>#REF!</v>
      </c>
      <c r="B45" s="254"/>
      <c r="C45" s="254"/>
      <c r="D45" s="254"/>
      <c r="E45" s="255" t="e">
        <f ca="1">INDIRECT(ADDRESS(4,12,,,"급여대장"))</f>
        <v>#REF!</v>
      </c>
      <c r="F45" s="256" t="e">
        <f ca="1">INDIRECT(ADDRESS(4,13,,,"급여대장"))</f>
        <v>#REF!</v>
      </c>
      <c r="G45" s="257"/>
      <c r="H45" s="258"/>
      <c r="I45" s="254" t="e">
        <f ca="1">A45</f>
        <v>#REF!</v>
      </c>
      <c r="J45" s="254"/>
      <c r="K45" s="254"/>
      <c r="L45" s="254"/>
      <c r="M45" s="255" t="e">
        <f ca="1">E45</f>
        <v>#REF!</v>
      </c>
      <c r="N45" s="259" t="e">
        <f ca="1">F45</f>
        <v>#REF!</v>
      </c>
      <c r="O45" s="247" t="e">
        <f ca="1">IF(RIGHT(A2,1)="0",(O2+2),(O2+1))</f>
        <v>#REF!</v>
      </c>
      <c r="Q45" s="351" t="e">
        <f ca="1">_xlfn.XLOOKUP(A45,#REF!,#REF!)</f>
        <v>#REF!</v>
      </c>
    </row>
    <row r="46" spans="1:25" ht="17.100000000000001" customHeight="1">
      <c r="A46" s="785" t="e">
        <f ca="1">INDIRECT(ADDRESS(7,1,,,"급여대장"))</f>
        <v>#REF!</v>
      </c>
      <c r="B46" s="786"/>
      <c r="C46" s="787" t="e">
        <f ca="1">INDIRECT(ADDRESS(3*O45-2+9,1,,,"급여대장"))</f>
        <v>#REF!</v>
      </c>
      <c r="D46" s="788"/>
      <c r="E46" s="260" t="s">
        <v>196</v>
      </c>
      <c r="F46" s="261" t="e">
        <f ca="1">INDIRECT(ADDRESS(3*O45-2+10,3,,,"급여대장"))</f>
        <v>#REF!</v>
      </c>
      <c r="G46" s="257"/>
      <c r="H46" s="262"/>
      <c r="I46" s="785" t="e">
        <f ca="1">A46</f>
        <v>#REF!</v>
      </c>
      <c r="J46" s="786"/>
      <c r="K46" s="787" t="e">
        <f ca="1">C46</f>
        <v>#REF!</v>
      </c>
      <c r="L46" s="788"/>
      <c r="M46" s="260" t="s">
        <v>196</v>
      </c>
      <c r="N46" s="261" t="e">
        <f ca="1">INDIRECT(ADDRESS(3*O45-2+10,3,,,"급여대장"))</f>
        <v>#REF!</v>
      </c>
    </row>
    <row r="47" spans="1:25" ht="17.100000000000001" customHeight="1">
      <c r="A47" s="263" t="e">
        <f ca="1">INDIRECT(ADDRESS(6,2,,,"급여대장"))</f>
        <v>#REF!</v>
      </c>
      <c r="B47" s="264" t="e">
        <f ca="1">INDIRECT(ADDRESS(7,2,,,"급여대장"))</f>
        <v>#REF!</v>
      </c>
      <c r="C47" s="776" t="e">
        <f ca="1">INDIRECT(ADDRESS(3*O45-2+8,2,,,"급여대장"))</f>
        <v>#REF!</v>
      </c>
      <c r="D47" s="777"/>
      <c r="E47" s="777" t="e">
        <f ca="1">INDIRECT(ADDRESS(3*O45-2+9,2,,,"급여대장"))</f>
        <v>#REF!</v>
      </c>
      <c r="F47" s="778"/>
      <c r="G47" s="265"/>
      <c r="H47" s="262"/>
      <c r="I47" s="263" t="e">
        <f ca="1">A47</f>
        <v>#REF!</v>
      </c>
      <c r="J47" s="264" t="e">
        <f ca="1">B47</f>
        <v>#REF!</v>
      </c>
      <c r="K47" s="776" t="e">
        <f ca="1">C47</f>
        <v>#REF!</v>
      </c>
      <c r="L47" s="777"/>
      <c r="M47" s="777" t="e">
        <f ca="1">E47</f>
        <v>#REF!</v>
      </c>
      <c r="N47" s="778"/>
    </row>
    <row r="48" spans="1:25" ht="17.100000000000001" customHeight="1" thickBot="1">
      <c r="A48" s="266" t="e">
        <f ca="1">INDIRECT(ADDRESS(8,1,,,"급여대장"))</f>
        <v>#REF!</v>
      </c>
      <c r="B48" s="267" t="e">
        <f ca="1">INDIRECT(ADDRESS(8,2,,,"급여대장"))</f>
        <v>#REF!</v>
      </c>
      <c r="C48" s="779" t="e">
        <f ca="1">INDIRECT(ADDRESS(3*O45-2+10,1,,,"급여대장"))</f>
        <v>#REF!</v>
      </c>
      <c r="D48" s="780"/>
      <c r="E48" s="781" t="e">
        <f ca="1">REPLACE(INDIRECT(ADDRESS(3*O45-2+10,2,,,"급여대장")),9,6,"******")</f>
        <v>#REF!</v>
      </c>
      <c r="F48" s="782"/>
      <c r="G48" s="268"/>
      <c r="H48" s="262"/>
      <c r="I48" s="266" t="e">
        <f ca="1">A48</f>
        <v>#REF!</v>
      </c>
      <c r="J48" s="267" t="e">
        <f ca="1">B48</f>
        <v>#REF!</v>
      </c>
      <c r="K48" s="779" t="e">
        <f ca="1">C48</f>
        <v>#REF!</v>
      </c>
      <c r="L48" s="780"/>
      <c r="M48" s="781" t="e">
        <f ca="1">E48</f>
        <v>#REF!</v>
      </c>
      <c r="N48" s="782"/>
    </row>
    <row r="49" spans="1:17" ht="17.100000000000001" customHeight="1" thickBot="1">
      <c r="A49" s="262"/>
      <c r="B49" s="262"/>
      <c r="C49" s="262"/>
      <c r="D49" s="262"/>
      <c r="E49" s="262"/>
      <c r="F49" s="262"/>
      <c r="G49" s="257"/>
      <c r="H49" s="262"/>
      <c r="I49" s="269"/>
      <c r="J49" s="269"/>
      <c r="K49" s="269"/>
      <c r="L49" s="269"/>
      <c r="M49" s="269"/>
      <c r="N49" s="269"/>
    </row>
    <row r="50" spans="1:17" s="249" customFormat="1" ht="17.100000000000001" customHeight="1">
      <c r="A50" s="752" t="e">
        <f ca="1">INDIRECT(ADDRESS(5,7,,,"급여대장"))</f>
        <v>#REF!</v>
      </c>
      <c r="B50" s="270" t="e">
        <f ca="1">INDIRECT(ADDRESS(6,7,,,"급여대장"))</f>
        <v>#REF!</v>
      </c>
      <c r="C50" s="270" t="e">
        <f ca="1">INDIRECT(ADDRESS(6,8,,,"급여대장"))</f>
        <v>#REF!</v>
      </c>
      <c r="D50" s="270" t="e">
        <f ca="1">INDIRECT(ADDRESS(6,9,,,"급여대장"))</f>
        <v>#REF!</v>
      </c>
      <c r="E50" s="332" t="e">
        <f ca="1">INDIRECT(ADDRESS(6,10,,,"급여대장"))</f>
        <v>#REF!</v>
      </c>
      <c r="F50" s="773" t="e">
        <f ca="1">INDIRECT(ADDRESS(6,11,,,"급여대장"))</f>
        <v>#REF!</v>
      </c>
      <c r="G50" s="257"/>
      <c r="H50" s="262"/>
      <c r="I50" s="752" t="e">
        <f ca="1">A50</f>
        <v>#REF!</v>
      </c>
      <c r="J50" s="270" t="e">
        <f ca="1">B50</f>
        <v>#REF!</v>
      </c>
      <c r="K50" s="270" t="e">
        <f t="shared" ref="K50:K75" ca="1" si="9">C50</f>
        <v>#REF!</v>
      </c>
      <c r="L50" s="270" t="e">
        <f t="shared" ref="L50:L75" ca="1" si="10">D50</f>
        <v>#REF!</v>
      </c>
      <c r="M50" s="270" t="e">
        <f t="shared" ref="M50:M55" ca="1" si="11">E50</f>
        <v>#REF!</v>
      </c>
      <c r="N50" s="773" t="e">
        <f ca="1">F50</f>
        <v>#REF!</v>
      </c>
    </row>
    <row r="51" spans="1:17" s="249" customFormat="1" ht="17.100000000000001" customHeight="1">
      <c r="A51" s="753"/>
      <c r="B51" s="271" t="e">
        <f ca="1">INDIRECT(ADDRESS(7,7,,,"급여대장"))</f>
        <v>#REF!</v>
      </c>
      <c r="C51" s="271" t="e">
        <f ca="1">INDIRECT(ADDRESS(7,8,,,"급여대장"))</f>
        <v>#REF!</v>
      </c>
      <c r="D51" s="271" t="e">
        <f ca="1">INDIRECT(ADDRESS(7,9,,,"급여대장"))</f>
        <v>#REF!</v>
      </c>
      <c r="E51" s="333" t="e">
        <f ca="1">INDIRECT(ADDRESS(7,10,,,"급여대장"))</f>
        <v>#REF!</v>
      </c>
      <c r="F51" s="774"/>
      <c r="G51" s="257"/>
      <c r="H51" s="262"/>
      <c r="I51" s="753"/>
      <c r="J51" s="271" t="e">
        <f t="shared" ref="J51:J55" ca="1" si="12">B51</f>
        <v>#REF!</v>
      </c>
      <c r="K51" s="271" t="e">
        <f t="shared" ca="1" si="9"/>
        <v>#REF!</v>
      </c>
      <c r="L51" s="271" t="e">
        <f t="shared" ca="1" si="10"/>
        <v>#REF!</v>
      </c>
      <c r="M51" s="271" t="e">
        <f t="shared" ca="1" si="11"/>
        <v>#REF!</v>
      </c>
      <c r="N51" s="774"/>
    </row>
    <row r="52" spans="1:17" s="249" customFormat="1" ht="17.100000000000001" customHeight="1">
      <c r="A52" s="753"/>
      <c r="B52" s="272" t="e">
        <f ca="1">INDIRECT(ADDRESS(8,7,,,"급여대장"))</f>
        <v>#REF!</v>
      </c>
      <c r="C52" s="272" t="e">
        <f ca="1">INDIRECT(ADDRESS(8,8,,,"급여대장"))</f>
        <v>#REF!</v>
      </c>
      <c r="D52" s="272" t="e">
        <f ca="1">INDIRECT(ADDRESS(8,9,,,"급여대장"))</f>
        <v>#REF!</v>
      </c>
      <c r="E52" s="334" t="e">
        <f ca="1">INDIRECT(ADDRESS(8,10,,,"급여대장"))</f>
        <v>#REF!</v>
      </c>
      <c r="F52" s="775"/>
      <c r="G52" s="257"/>
      <c r="H52" s="273"/>
      <c r="I52" s="753"/>
      <c r="J52" s="272" t="e">
        <f t="shared" ca="1" si="12"/>
        <v>#REF!</v>
      </c>
      <c r="K52" s="272" t="e">
        <f t="shared" ca="1" si="9"/>
        <v>#REF!</v>
      </c>
      <c r="L52" s="272" t="e">
        <f t="shared" ca="1" si="10"/>
        <v>#REF!</v>
      </c>
      <c r="M52" s="272" t="e">
        <f t="shared" ca="1" si="11"/>
        <v>#REF!</v>
      </c>
      <c r="N52" s="775"/>
    </row>
    <row r="53" spans="1:17" s="249" customFormat="1" ht="17.100000000000001" customHeight="1">
      <c r="A53" s="753"/>
      <c r="B53" s="274" t="e">
        <f ca="1">INDIRECT(ADDRESS(3*O45-2+8,7,,,"급여대장"))</f>
        <v>#REF!</v>
      </c>
      <c r="C53" s="274" t="e">
        <f ca="1">INDIRECT(ADDRESS(3*O45-2+8,8,,,"급여대장"))</f>
        <v>#REF!</v>
      </c>
      <c r="D53" s="274" t="e">
        <f ca="1">INDIRECT(ADDRESS(3*O45-2+8,9,,,"급여대장"))</f>
        <v>#REF!</v>
      </c>
      <c r="E53" s="335" t="e">
        <f ca="1">INDIRECT(ADDRESS(3*O45-2+8,10,,,"급여대장"))</f>
        <v>#REF!</v>
      </c>
      <c r="F53" s="767" t="e">
        <f ca="1">INDIRECT(ADDRESS(3*O45-2+8,11,,,"급여대장"))</f>
        <v>#REF!</v>
      </c>
      <c r="G53" s="257"/>
      <c r="H53" s="262"/>
      <c r="I53" s="753"/>
      <c r="J53" s="275" t="e">
        <f t="shared" ca="1" si="12"/>
        <v>#REF!</v>
      </c>
      <c r="K53" s="275" t="e">
        <f t="shared" ca="1" si="9"/>
        <v>#REF!</v>
      </c>
      <c r="L53" s="275" t="e">
        <f t="shared" ca="1" si="10"/>
        <v>#REF!</v>
      </c>
      <c r="M53" s="275" t="e">
        <f t="shared" ca="1" si="11"/>
        <v>#REF!</v>
      </c>
      <c r="N53" s="768" t="e">
        <f ca="1">F53</f>
        <v>#REF!</v>
      </c>
    </row>
    <row r="54" spans="1:17" s="249" customFormat="1" ht="17.100000000000001" customHeight="1">
      <c r="A54" s="753"/>
      <c r="B54" s="274" t="e">
        <f ca="1">INDIRECT(ADDRESS(3*O45-2+9,7,,,"급여대장"))</f>
        <v>#REF!</v>
      </c>
      <c r="C54" s="274" t="e">
        <f ca="1">INDIRECT(ADDRESS(3*O45-2+9,8,,,"급여대장"))</f>
        <v>#REF!</v>
      </c>
      <c r="D54" s="274" t="e">
        <f ca="1">INDIRECT(ADDRESS(3*O45-2+9,9,,,"급여대장"))</f>
        <v>#REF!</v>
      </c>
      <c r="E54" s="335" t="e">
        <f ca="1">INDIRECT(ADDRESS(3*O45-2+9,10,,,"급여대장"))</f>
        <v>#REF!</v>
      </c>
      <c r="F54" s="768"/>
      <c r="G54" s="257"/>
      <c r="H54" s="262"/>
      <c r="I54" s="753"/>
      <c r="J54" s="276" t="e">
        <f t="shared" ca="1" si="12"/>
        <v>#REF!</v>
      </c>
      <c r="K54" s="276" t="e">
        <f t="shared" ca="1" si="9"/>
        <v>#REF!</v>
      </c>
      <c r="L54" s="276" t="e">
        <f t="shared" ca="1" si="10"/>
        <v>#REF!</v>
      </c>
      <c r="M54" s="276" t="e">
        <f t="shared" ca="1" si="11"/>
        <v>#REF!</v>
      </c>
      <c r="N54" s="768"/>
    </row>
    <row r="55" spans="1:17" s="249" customFormat="1" ht="17.100000000000001" customHeight="1" thickBot="1">
      <c r="A55" s="754"/>
      <c r="B55" s="274" t="e">
        <f ca="1">INDIRECT(ADDRESS(3*O45-2+10,7,,,"급여대장"))</f>
        <v>#REF!</v>
      </c>
      <c r="C55" s="274" t="e">
        <f ca="1">INDIRECT(ADDRESS(3*O45-2+10,8,,,"급여대장"))</f>
        <v>#REF!</v>
      </c>
      <c r="D55" s="274" t="e">
        <f ca="1">INDIRECT(ADDRESS(3*O45-2+10,9,,,"급여대장"))</f>
        <v>#REF!</v>
      </c>
      <c r="E55" s="335" t="e">
        <f ca="1">INDIRECT(ADDRESS(3*O45-2+10,10,,,"급여대장"))</f>
        <v>#REF!</v>
      </c>
      <c r="F55" s="769"/>
      <c r="G55" s="257"/>
      <c r="H55" s="262"/>
      <c r="I55" s="754"/>
      <c r="J55" s="277" t="e">
        <f t="shared" ca="1" si="12"/>
        <v>#REF!</v>
      </c>
      <c r="K55" s="277" t="e">
        <f t="shared" ca="1" si="9"/>
        <v>#REF!</v>
      </c>
      <c r="L55" s="277" t="e">
        <f t="shared" ca="1" si="10"/>
        <v>#REF!</v>
      </c>
      <c r="M55" s="277" t="e">
        <f t="shared" ca="1" si="11"/>
        <v>#REF!</v>
      </c>
      <c r="N55" s="769"/>
    </row>
    <row r="56" spans="1:17" s="249" customFormat="1" ht="17.100000000000001" customHeight="1">
      <c r="A56" s="752" t="e">
        <f ca="1">INDIRECT(ADDRESS(5,12,,,"급여대장"))</f>
        <v>#REF!</v>
      </c>
      <c r="B56" s="270" t="e">
        <f ca="1">INDIRECT(ADDRESS(6,12,,,"급여대장"))</f>
        <v>#REF!</v>
      </c>
      <c r="C56" s="270" t="e">
        <f ca="1">INDIRECT(ADDRESS(6,13,,,"급여대장"))</f>
        <v>#REF!</v>
      </c>
      <c r="D56" s="270" t="e">
        <f ca="1">INDIRECT(ADDRESS(6,14,,,"급여대장"))</f>
        <v>#REF!</v>
      </c>
      <c r="E56" s="336"/>
      <c r="F56" s="773" t="e">
        <f ca="1">INDIRECT(ADDRESS(6,15,,,"급여대장"))</f>
        <v>#REF!</v>
      </c>
      <c r="G56" s="257"/>
      <c r="H56" s="262"/>
      <c r="I56" s="752" t="e">
        <f ca="1">A56</f>
        <v>#REF!</v>
      </c>
      <c r="J56" s="270" t="e">
        <f ca="1">B56</f>
        <v>#REF!</v>
      </c>
      <c r="K56" s="270" t="e">
        <f t="shared" ca="1" si="9"/>
        <v>#REF!</v>
      </c>
      <c r="L56" s="270" t="e">
        <f t="shared" ca="1" si="10"/>
        <v>#REF!</v>
      </c>
      <c r="M56" s="270"/>
      <c r="N56" s="773" t="e">
        <f ca="1">F56</f>
        <v>#REF!</v>
      </c>
    </row>
    <row r="57" spans="1:17" s="249" customFormat="1" ht="17.100000000000001" customHeight="1">
      <c r="A57" s="753"/>
      <c r="B57" s="271" t="e">
        <f ca="1">INDIRECT(ADDRESS(7,12,,,"급여대장"))</f>
        <v>#REF!</v>
      </c>
      <c r="C57" s="271" t="e">
        <f ca="1">INDIRECT(ADDRESS(7,13,,,"급여대장"))</f>
        <v>#REF!</v>
      </c>
      <c r="D57" s="271" t="e">
        <f ca="1">INDIRECT(ADDRESS(7,14,,,"급여대장"))</f>
        <v>#REF!</v>
      </c>
      <c r="E57" s="337"/>
      <c r="F57" s="774"/>
      <c r="G57" s="257"/>
      <c r="H57" s="262"/>
      <c r="I57" s="753"/>
      <c r="J57" s="278" t="e">
        <f t="shared" ref="J57:J61" ca="1" si="13">B57</f>
        <v>#REF!</v>
      </c>
      <c r="K57" s="278" t="e">
        <f t="shared" ca="1" si="9"/>
        <v>#REF!</v>
      </c>
      <c r="L57" s="278" t="e">
        <f t="shared" ca="1" si="10"/>
        <v>#REF!</v>
      </c>
      <c r="M57" s="278"/>
      <c r="N57" s="774"/>
    </row>
    <row r="58" spans="1:17" s="249" customFormat="1" ht="17.100000000000001" customHeight="1">
      <c r="A58" s="753"/>
      <c r="B58" s="272" t="e">
        <f ca="1">INDIRECT(ADDRESS(8,12,,,"급여대장"))</f>
        <v>#REF!</v>
      </c>
      <c r="C58" s="272" t="e">
        <f ca="1">INDIRECT(ADDRESS(8,13,,,"급여대장"))</f>
        <v>#REF!</v>
      </c>
      <c r="D58" s="272" t="e">
        <f ca="1">INDIRECT(ADDRESS(8,14,,,"급여대장"))</f>
        <v>#REF!</v>
      </c>
      <c r="E58" s="338"/>
      <c r="F58" s="775"/>
      <c r="G58" s="257"/>
      <c r="H58" s="262"/>
      <c r="I58" s="753"/>
      <c r="J58" s="279" t="e">
        <f t="shared" ca="1" si="13"/>
        <v>#REF!</v>
      </c>
      <c r="K58" s="279" t="e">
        <f t="shared" ca="1" si="9"/>
        <v>#REF!</v>
      </c>
      <c r="L58" s="279" t="e">
        <f t="shared" ca="1" si="10"/>
        <v>#REF!</v>
      </c>
      <c r="M58" s="279"/>
      <c r="N58" s="775"/>
    </row>
    <row r="59" spans="1:17" s="249" customFormat="1" ht="17.100000000000001" customHeight="1">
      <c r="A59" s="753"/>
      <c r="B59" s="274" t="e">
        <f ca="1">INDIRECT(ADDRESS(3*O45-2+8,12,,,"급여대장"))</f>
        <v>#REF!</v>
      </c>
      <c r="C59" s="274" t="e">
        <f ca="1">INDIRECT(ADDRESS(3*O45-2+8,13,,,"급여대장"))</f>
        <v>#REF!</v>
      </c>
      <c r="D59" s="274" t="e">
        <f ca="1">INDIRECT(ADDRESS(3*O45-2+8,14,,,"급여대장"))</f>
        <v>#REF!</v>
      </c>
      <c r="E59" s="339"/>
      <c r="F59" s="768" t="e">
        <f ca="1">INDIRECT(ADDRESS(3*O45-2+8,15,,,"급여대장"))</f>
        <v>#REF!</v>
      </c>
      <c r="G59" s="257"/>
      <c r="H59" s="262"/>
      <c r="I59" s="753"/>
      <c r="J59" s="274" t="e">
        <f t="shared" ca="1" si="13"/>
        <v>#REF!</v>
      </c>
      <c r="K59" s="274" t="e">
        <f t="shared" ca="1" si="9"/>
        <v>#REF!</v>
      </c>
      <c r="L59" s="274" t="e">
        <f t="shared" ca="1" si="10"/>
        <v>#REF!</v>
      </c>
      <c r="M59" s="274"/>
      <c r="N59" s="768" t="e">
        <f ca="1">F59</f>
        <v>#REF!</v>
      </c>
      <c r="Q59" s="252"/>
    </row>
    <row r="60" spans="1:17" s="249" customFormat="1" ht="17.100000000000001" customHeight="1">
      <c r="A60" s="753"/>
      <c r="B60" s="274" t="e">
        <f ca="1">INDIRECT(ADDRESS(3*O45-2+9,12,,,"급여대장"))</f>
        <v>#REF!</v>
      </c>
      <c r="C60" s="274" t="e">
        <f ca="1">INDIRECT(ADDRESS(3*O45-2+9,13,,,"급여대장"))</f>
        <v>#REF!</v>
      </c>
      <c r="D60" s="274" t="e">
        <f ca="1">INDIRECT(ADDRESS(3*O45-2+9,14,,,"급여대장"))</f>
        <v>#REF!</v>
      </c>
      <c r="E60" s="340"/>
      <c r="F60" s="768"/>
      <c r="G60" s="257"/>
      <c r="H60" s="262"/>
      <c r="I60" s="753"/>
      <c r="J60" s="274" t="e">
        <f t="shared" ca="1" si="13"/>
        <v>#REF!</v>
      </c>
      <c r="K60" s="274" t="e">
        <f t="shared" ca="1" si="9"/>
        <v>#REF!</v>
      </c>
      <c r="L60" s="274" t="e">
        <f t="shared" ca="1" si="10"/>
        <v>#REF!</v>
      </c>
      <c r="M60" s="274"/>
      <c r="N60" s="768"/>
      <c r="P60" s="250"/>
    </row>
    <row r="61" spans="1:17" s="249" customFormat="1" ht="17.100000000000001" customHeight="1" thickBot="1">
      <c r="A61" s="754"/>
      <c r="B61" s="274" t="e">
        <f ca="1">INDIRECT(ADDRESS(3*O45-2+10,12,,,"급여대장"))</f>
        <v>#REF!</v>
      </c>
      <c r="C61" s="274" t="e">
        <f ca="1">INDIRECT(ADDRESS(3*O45-2+10,13,,,"급여대장"))</f>
        <v>#REF!</v>
      </c>
      <c r="D61" s="274" t="e">
        <f ca="1">INDIRECT(ADDRESS(3*O45-2+10,14,,,"급여대장"))</f>
        <v>#REF!</v>
      </c>
      <c r="E61" s="341"/>
      <c r="F61" s="769"/>
      <c r="G61" s="257"/>
      <c r="H61" s="262"/>
      <c r="I61" s="754"/>
      <c r="J61" s="274" t="e">
        <f t="shared" ca="1" si="13"/>
        <v>#REF!</v>
      </c>
      <c r="K61" s="274" t="e">
        <f t="shared" ca="1" si="9"/>
        <v>#REF!</v>
      </c>
      <c r="L61" s="274" t="e">
        <f t="shared" ca="1" si="10"/>
        <v>#REF!</v>
      </c>
      <c r="M61" s="274"/>
      <c r="N61" s="769"/>
      <c r="P61" s="250"/>
    </row>
    <row r="62" spans="1:17" s="249" customFormat="1" ht="17.100000000000001" customHeight="1">
      <c r="A62" s="752" t="e">
        <f ca="1">INDIRECT(ADDRESS(5,4,,,"급여대장"))</f>
        <v>#REF!</v>
      </c>
      <c r="B62" s="270" t="e">
        <f ca="1">INDIRECT(ADDRESS(6,4,,,"급여대장"))</f>
        <v>#REF!</v>
      </c>
      <c r="C62" s="270" t="e">
        <f ca="1">INDIRECT(ADDRESS(6,5,,,"급여대장"))</f>
        <v>#REF!</v>
      </c>
      <c r="D62" s="270" t="e">
        <f ca="1">INDIRECT(ADDRESS(6,6,,,"급여대장"))</f>
        <v>#REF!</v>
      </c>
      <c r="E62" s="755" t="e">
        <f ca="1">INDIRECT(ADDRESS(6,16,,,"급여대장"))</f>
        <v>#REF!</v>
      </c>
      <c r="F62" s="758" t="e">
        <f ca="1">INDIRECT(ADDRESS(5,17,,,"급여대장"))</f>
        <v>#REF!</v>
      </c>
      <c r="G62" s="257"/>
      <c r="H62" s="262"/>
      <c r="I62" s="752" t="e">
        <f ca="1">A62</f>
        <v>#REF!</v>
      </c>
      <c r="J62" s="270" t="e">
        <f ca="1">B62</f>
        <v>#REF!</v>
      </c>
      <c r="K62" s="270" t="e">
        <f t="shared" ca="1" si="9"/>
        <v>#REF!</v>
      </c>
      <c r="L62" s="270" t="e">
        <f t="shared" ca="1" si="10"/>
        <v>#REF!</v>
      </c>
      <c r="M62" s="761" t="e">
        <f ca="1">INDIRECT(ADDRESS(6,16,,,"급여대장"))</f>
        <v>#REF!</v>
      </c>
      <c r="N62" s="758" t="e">
        <f ca="1">F62</f>
        <v>#REF!</v>
      </c>
      <c r="P62" s="251"/>
    </row>
    <row r="63" spans="1:17" s="249" customFormat="1" ht="17.100000000000001" customHeight="1">
      <c r="A63" s="753"/>
      <c r="B63" s="271" t="e">
        <f ca="1">INDIRECT(ADDRESS(7,4,,,"급여대장"))</f>
        <v>#REF!</v>
      </c>
      <c r="C63" s="271" t="e">
        <f ca="1">INDIRECT(ADDRESS(7,5,,,"급여대장"))</f>
        <v>#REF!</v>
      </c>
      <c r="D63" s="271" t="e">
        <f ca="1">INDIRECT(ADDRESS(7,6,,,"급여대장"))</f>
        <v>#REF!</v>
      </c>
      <c r="E63" s="756"/>
      <c r="F63" s="759"/>
      <c r="G63" s="257"/>
      <c r="H63" s="262"/>
      <c r="I63" s="753"/>
      <c r="J63" s="271" t="e">
        <f t="shared" ref="J63:J67" ca="1" si="14">B63</f>
        <v>#REF!</v>
      </c>
      <c r="K63" s="271" t="e">
        <f t="shared" ca="1" si="9"/>
        <v>#REF!</v>
      </c>
      <c r="L63" s="271" t="e">
        <f t="shared" ca="1" si="10"/>
        <v>#REF!</v>
      </c>
      <c r="M63" s="762"/>
      <c r="N63" s="759"/>
      <c r="P63" s="250"/>
    </row>
    <row r="64" spans="1:17" s="249" customFormat="1" ht="17.100000000000001" customHeight="1">
      <c r="A64" s="753"/>
      <c r="B64" s="272" t="e">
        <f ca="1">INDIRECT(ADDRESS(8,4,,,"급여대장"))</f>
        <v>#REF!</v>
      </c>
      <c r="C64" s="272" t="e">
        <f ca="1">INDIRECT(ADDRESS(8,5,,,"급여대장"))</f>
        <v>#REF!</v>
      </c>
      <c r="D64" s="272" t="e">
        <f ca="1">INDIRECT(ADDRESS(8,6,,,"급여대장"))</f>
        <v>#REF!</v>
      </c>
      <c r="E64" s="757"/>
      <c r="F64" s="760"/>
      <c r="G64" s="257"/>
      <c r="H64" s="262"/>
      <c r="I64" s="753"/>
      <c r="J64" s="272" t="e">
        <f t="shared" ca="1" si="14"/>
        <v>#REF!</v>
      </c>
      <c r="K64" s="272" t="e">
        <f t="shared" ca="1" si="9"/>
        <v>#REF!</v>
      </c>
      <c r="L64" s="272" t="e">
        <f t="shared" ca="1" si="10"/>
        <v>#REF!</v>
      </c>
      <c r="M64" s="763"/>
      <c r="N64" s="760"/>
      <c r="P64" s="250"/>
    </row>
    <row r="65" spans="1:16" s="249" customFormat="1" ht="17.100000000000001" customHeight="1">
      <c r="A65" s="753"/>
      <c r="B65" s="280" t="e">
        <f ca="1">INDIRECT(ADDRESS(3*O45-2+8,4,,,"급여대장"))</f>
        <v>#REF!</v>
      </c>
      <c r="C65" s="280" t="e">
        <f ca="1">INDIRECT(ADDRESS(3*O45-2+8,5,,,"급여대장"))</f>
        <v>#REF!</v>
      </c>
      <c r="D65" s="280" t="e">
        <f ca="1">INDIRECT(ADDRESS(3*O45-2+8,6,,,"급여대장"))</f>
        <v>#REF!</v>
      </c>
      <c r="E65" s="764" t="e">
        <f ca="1">INDIRECT(ADDRESS(3*O45-2+8,16,,,"급여대장"))</f>
        <v>#REF!</v>
      </c>
      <c r="F65" s="767" t="e">
        <f ca="1">INDIRECT(ADDRESS(3*O45-2+8,17,,,"급여대장"))</f>
        <v>#REF!</v>
      </c>
      <c r="G65" s="257"/>
      <c r="H65" s="262"/>
      <c r="I65" s="753"/>
      <c r="J65" s="281" t="e">
        <f t="shared" ca="1" si="14"/>
        <v>#REF!</v>
      </c>
      <c r="K65" s="281" t="e">
        <f t="shared" ca="1" si="9"/>
        <v>#REF!</v>
      </c>
      <c r="L65" s="281" t="e">
        <f t="shared" ca="1" si="10"/>
        <v>#REF!</v>
      </c>
      <c r="M65" s="770" t="e">
        <f ca="1">E65</f>
        <v>#REF!</v>
      </c>
      <c r="N65" s="768" t="e">
        <f ca="1">F65</f>
        <v>#REF!</v>
      </c>
      <c r="P65" s="250"/>
    </row>
    <row r="66" spans="1:16" s="249" customFormat="1" ht="17.100000000000001" customHeight="1">
      <c r="A66" s="753"/>
      <c r="B66" s="282" t="e">
        <f ca="1">INDIRECT(ADDRESS(3*O45-2+9,4,,,"급여대장"))</f>
        <v>#REF!</v>
      </c>
      <c r="C66" s="282" t="e">
        <f ca="1">INDIRECT(ADDRESS(3*O45-2+9,5,,,"급여대장"))</f>
        <v>#REF!</v>
      </c>
      <c r="D66" s="282" t="e">
        <f ca="1">INDIRECT(ADDRESS(3*O45-2+9,6,,,"급여대장"))</f>
        <v>#REF!</v>
      </c>
      <c r="E66" s="765"/>
      <c r="F66" s="768"/>
      <c r="G66" s="257"/>
      <c r="H66" s="262"/>
      <c r="I66" s="753"/>
      <c r="J66" s="282" t="e">
        <f t="shared" ca="1" si="14"/>
        <v>#REF!</v>
      </c>
      <c r="K66" s="282" t="e">
        <f t="shared" ca="1" si="9"/>
        <v>#REF!</v>
      </c>
      <c r="L66" s="282" t="e">
        <f t="shared" ca="1" si="10"/>
        <v>#REF!</v>
      </c>
      <c r="M66" s="771"/>
      <c r="N66" s="768"/>
      <c r="P66" s="250"/>
    </row>
    <row r="67" spans="1:16" s="249" customFormat="1" ht="17.100000000000001" customHeight="1" thickBot="1">
      <c r="A67" s="754"/>
      <c r="B67" s="283" t="e">
        <f ca="1">INDIRECT(ADDRESS(3*O45-2+10,4,,,"급여대장"))</f>
        <v>#REF!</v>
      </c>
      <c r="C67" s="283" t="e">
        <f ca="1">INDIRECT(ADDRESS(3*O45-2+10,5,,,"급여대장"))</f>
        <v>#REF!</v>
      </c>
      <c r="D67" s="283" t="e">
        <f ca="1">INDIRECT(ADDRESS(3*O45-2+10,6,,,"급여대장"))</f>
        <v>#REF!</v>
      </c>
      <c r="E67" s="766"/>
      <c r="F67" s="769"/>
      <c r="G67" s="257"/>
      <c r="H67" s="262"/>
      <c r="I67" s="754"/>
      <c r="J67" s="283" t="e">
        <f t="shared" ca="1" si="14"/>
        <v>#REF!</v>
      </c>
      <c r="K67" s="283" t="e">
        <f t="shared" ca="1" si="9"/>
        <v>#REF!</v>
      </c>
      <c r="L67" s="283" t="e">
        <f t="shared" ca="1" si="10"/>
        <v>#REF!</v>
      </c>
      <c r="M67" s="772"/>
      <c r="N67" s="769"/>
      <c r="P67" s="250"/>
    </row>
    <row r="68" spans="1:16" s="249" customFormat="1" ht="17.100000000000001" customHeight="1">
      <c r="A68" s="744" t="s">
        <v>197</v>
      </c>
      <c r="B68" s="284" t="e">
        <f ca="1">B50</f>
        <v>#REF!</v>
      </c>
      <c r="C68" s="285" t="e">
        <f ca="1">INDIRECT(ADDRESS(3*O45-2+10,3,,,"급여대장"))</f>
        <v>#REF!</v>
      </c>
      <c r="D68" s="286" t="e">
        <f ca="1">"x "&amp;ROUND(B65,1)</f>
        <v>#REF!</v>
      </c>
      <c r="E68" s="358" t="e">
        <f ca="1">"주휴"&amp;VLOOKUP(C46,출근대장!$B$6:$BA$191,38,0)&amp;"시간 포함"</f>
        <v>#REF!</v>
      </c>
      <c r="F68" s="342" t="e">
        <f ca="1">B53</f>
        <v>#REF!</v>
      </c>
      <c r="G68" s="257"/>
      <c r="H68" s="262"/>
      <c r="I68" s="744" t="str">
        <f>A68</f>
        <v>임금계산방법</v>
      </c>
      <c r="J68" s="287" t="e">
        <f ca="1">B68</f>
        <v>#REF!</v>
      </c>
      <c r="K68" s="288" t="e">
        <f t="shared" ca="1" si="9"/>
        <v>#REF!</v>
      </c>
      <c r="L68" s="286" t="e">
        <f t="shared" ca="1" si="10"/>
        <v>#REF!</v>
      </c>
      <c r="M68" s="358" t="e">
        <f t="shared" ref="M68:M75" ca="1" si="15">E68</f>
        <v>#REF!</v>
      </c>
      <c r="N68" s="342" t="e">
        <f t="shared" ref="N68:N76" ca="1" si="16">F68</f>
        <v>#REF!</v>
      </c>
      <c r="P68" s="250"/>
    </row>
    <row r="69" spans="1:16" s="249" customFormat="1" ht="17.100000000000001" customHeight="1">
      <c r="A69" s="745"/>
      <c r="B69" s="289" t="e">
        <f ca="1">C50</f>
        <v>#REF!</v>
      </c>
      <c r="C69" s="290" t="e">
        <f ca="1">INDIRECT(ADDRESS(3*O45-2+10,3,,,"급여대장"))</f>
        <v>#REF!</v>
      </c>
      <c r="D69" s="291" t="e">
        <f ca="1">"x "&amp;ROUND(C65,1)&amp;" x"</f>
        <v>#REF!</v>
      </c>
      <c r="E69" s="297">
        <v>1.5</v>
      </c>
      <c r="F69" s="343" t="e">
        <f ca="1">C53</f>
        <v>#REF!</v>
      </c>
      <c r="G69" s="257"/>
      <c r="H69" s="262"/>
      <c r="I69" s="745"/>
      <c r="J69" s="293" t="e">
        <f t="shared" ref="J69:J70" ca="1" si="17">B69</f>
        <v>#REF!</v>
      </c>
      <c r="K69" s="294" t="e">
        <f t="shared" ca="1" si="9"/>
        <v>#REF!</v>
      </c>
      <c r="L69" s="295" t="e">
        <f t="shared" ca="1" si="10"/>
        <v>#REF!</v>
      </c>
      <c r="M69" s="359">
        <f t="shared" si="15"/>
        <v>1.5</v>
      </c>
      <c r="N69" s="343" t="e">
        <f t="shared" ca="1" si="16"/>
        <v>#REF!</v>
      </c>
      <c r="P69" s="250"/>
    </row>
    <row r="70" spans="1:16" s="249" customFormat="1" ht="17.100000000000001" customHeight="1">
      <c r="A70" s="745"/>
      <c r="B70" s="289" t="e">
        <f ca="1">D50</f>
        <v>#REF!</v>
      </c>
      <c r="C70" s="330" t="e">
        <f ca="1">INDIRECT(ADDRESS(3*O45-2+10,3,,,"급여대장"))</f>
        <v>#REF!</v>
      </c>
      <c r="D70" s="296" t="e">
        <f ca="1">"x "&amp;ROUND(D65,1)&amp;" x"</f>
        <v>#REF!</v>
      </c>
      <c r="E70" s="297">
        <v>1.5</v>
      </c>
      <c r="F70" s="343" t="e">
        <f ca="1">D53</f>
        <v>#REF!</v>
      </c>
      <c r="G70" s="257"/>
      <c r="H70" s="262"/>
      <c r="I70" s="745"/>
      <c r="J70" s="293" t="e">
        <f t="shared" ca="1" si="17"/>
        <v>#REF!</v>
      </c>
      <c r="K70" s="294" t="e">
        <f t="shared" ca="1" si="9"/>
        <v>#REF!</v>
      </c>
      <c r="L70" s="295" t="e">
        <f t="shared" ca="1" si="10"/>
        <v>#REF!</v>
      </c>
      <c r="M70" s="297">
        <f t="shared" si="15"/>
        <v>1.5</v>
      </c>
      <c r="N70" s="343" t="e">
        <f t="shared" ca="1" si="16"/>
        <v>#REF!</v>
      </c>
      <c r="P70" s="250"/>
    </row>
    <row r="71" spans="1:16" s="249" customFormat="1" ht="17.100000000000001" customHeight="1">
      <c r="A71" s="745"/>
      <c r="B71" s="289" t="e">
        <f ca="1">B51</f>
        <v>#REF!</v>
      </c>
      <c r="C71" s="330" t="e">
        <f ca="1">INDIRECT(ADDRESS(3*O45-2+10,3,,,"급여대장"))</f>
        <v>#REF!</v>
      </c>
      <c r="D71" s="296" t="e">
        <f ca="1">"x "&amp;ROUND(B66,1)&amp;" x"</f>
        <v>#REF!</v>
      </c>
      <c r="E71" s="297">
        <v>0.5</v>
      </c>
      <c r="F71" s="344" t="e">
        <f ca="1">B54</f>
        <v>#REF!</v>
      </c>
      <c r="G71" s="257"/>
      <c r="H71" s="262"/>
      <c r="I71" s="745"/>
      <c r="J71" s="293" t="e">
        <f ca="1">B71</f>
        <v>#REF!</v>
      </c>
      <c r="K71" s="294" t="e">
        <f t="shared" ca="1" si="9"/>
        <v>#REF!</v>
      </c>
      <c r="L71" s="295" t="e">
        <f t="shared" ca="1" si="10"/>
        <v>#REF!</v>
      </c>
      <c r="M71" s="297">
        <f t="shared" si="15"/>
        <v>0.5</v>
      </c>
      <c r="N71" s="343" t="e">
        <f t="shared" ca="1" si="16"/>
        <v>#REF!</v>
      </c>
      <c r="P71" s="250"/>
    </row>
    <row r="72" spans="1:16" s="249" customFormat="1" ht="17.100000000000001" customHeight="1">
      <c r="A72" s="745"/>
      <c r="B72" s="289" t="e">
        <f ca="1">C51</f>
        <v>#REF!</v>
      </c>
      <c r="C72" s="330" t="e">
        <f ca="1">INDIRECT(ADDRESS(3*O45-2+10,3,,,"급여대장"))</f>
        <v>#REF!</v>
      </c>
      <c r="D72" s="296" t="e">
        <f ca="1">"x "&amp;ROUND(C66,1)&amp;" x"</f>
        <v>#REF!</v>
      </c>
      <c r="E72" s="297">
        <v>1.5</v>
      </c>
      <c r="F72" s="343" t="e">
        <f ca="1">C54</f>
        <v>#REF!</v>
      </c>
      <c r="G72" s="257"/>
      <c r="H72" s="262"/>
      <c r="I72" s="745"/>
      <c r="J72" s="293" t="e">
        <f ca="1">B72</f>
        <v>#REF!</v>
      </c>
      <c r="K72" s="294" t="e">
        <f t="shared" ca="1" si="9"/>
        <v>#REF!</v>
      </c>
      <c r="L72" s="295" t="e">
        <f t="shared" ca="1" si="10"/>
        <v>#REF!</v>
      </c>
      <c r="M72" s="297">
        <f t="shared" si="15"/>
        <v>1.5</v>
      </c>
      <c r="N72" s="343" t="e">
        <f t="shared" ca="1" si="16"/>
        <v>#REF!</v>
      </c>
      <c r="P72" s="250"/>
    </row>
    <row r="73" spans="1:16" s="249" customFormat="1" ht="17.100000000000001" customHeight="1">
      <c r="A73" s="745"/>
      <c r="B73" s="289" t="e">
        <f ca="1">D51</f>
        <v>#REF!</v>
      </c>
      <c r="C73" s="330" t="e">
        <f ca="1">INDIRECT(ADDRESS(3*O45-2+10,3,,,"급여대장"))</f>
        <v>#REF!</v>
      </c>
      <c r="D73" s="296" t="e">
        <f ca="1">"x "&amp;ROUND(D54/C73,1)&amp;" x"</f>
        <v>#REF!</v>
      </c>
      <c r="E73" s="297">
        <v>1</v>
      </c>
      <c r="F73" s="343" t="e">
        <f ca="1">D54</f>
        <v>#REF!</v>
      </c>
      <c r="G73" s="257"/>
      <c r="H73" s="262"/>
      <c r="I73" s="745"/>
      <c r="J73" s="293" t="e">
        <f ca="1">B73</f>
        <v>#REF!</v>
      </c>
      <c r="K73" s="294" t="e">
        <f t="shared" ca="1" si="9"/>
        <v>#REF!</v>
      </c>
      <c r="L73" s="295" t="e">
        <f t="shared" ca="1" si="10"/>
        <v>#REF!</v>
      </c>
      <c r="M73" s="297">
        <f t="shared" si="15"/>
        <v>1</v>
      </c>
      <c r="N73" s="343" t="e">
        <f t="shared" ca="1" si="16"/>
        <v>#REF!</v>
      </c>
      <c r="P73" s="250"/>
    </row>
    <row r="74" spans="1:16" s="249" customFormat="1" ht="17.100000000000001" customHeight="1">
      <c r="A74" s="745"/>
      <c r="B74" s="298" t="e">
        <f ca="1">E50</f>
        <v>#REF!</v>
      </c>
      <c r="C74" s="331" t="e">
        <f ca="1">E53/D67*(DAY(DATE(YEAR($B$1),MONTH($B$1)+1,1)-1))</f>
        <v>#REF!</v>
      </c>
      <c r="D74" s="291" t="e">
        <f ca="1">"÷ "&amp;DAY(DATE(YEAR($B$1),MONTH($B$1)+1,1)-1)&amp;" x"</f>
        <v>#REF!</v>
      </c>
      <c r="E74" s="292" t="e">
        <f ca="1">INDIRECT(ADDRESS(3*O45-2+10,6,,,"급여대장"))</f>
        <v>#REF!</v>
      </c>
      <c r="F74" s="343" t="s">
        <v>198</v>
      </c>
      <c r="G74" s="257"/>
      <c r="H74" s="262"/>
      <c r="I74" s="745"/>
      <c r="J74" s="300" t="e">
        <f ca="1">B74</f>
        <v>#REF!</v>
      </c>
      <c r="K74" s="294" t="e">
        <f t="shared" ca="1" si="9"/>
        <v>#REF!</v>
      </c>
      <c r="L74" s="295" t="e">
        <f t="shared" ca="1" si="10"/>
        <v>#REF!</v>
      </c>
      <c r="M74" s="359" t="e">
        <f t="shared" ca="1" si="15"/>
        <v>#REF!</v>
      </c>
      <c r="N74" s="343" t="str">
        <f t="shared" si="16"/>
        <v>일할계산</v>
      </c>
      <c r="P74" s="250"/>
    </row>
    <row r="75" spans="1:16" s="249" customFormat="1" ht="17.100000000000001" customHeight="1">
      <c r="A75" s="745"/>
      <c r="B75" s="298" t="e">
        <f ca="1">E51</f>
        <v>#REF!</v>
      </c>
      <c r="C75" s="299" t="e">
        <f ca="1">E54/D67*(DAY(DATE(YEAR($B$1),MONTH($B$1)+1,1)-1))</f>
        <v>#REF!</v>
      </c>
      <c r="D75" s="291" t="e">
        <f ca="1">"÷ "&amp;DAY(DATE(YEAR($B$1),MONTH($B$1)+1,1)-1)&amp;" x"</f>
        <v>#REF!</v>
      </c>
      <c r="E75" s="292" t="e">
        <f ca="1">INDIRECT(ADDRESS(3*O45-2+10,6,,,"급여대장"))</f>
        <v>#REF!</v>
      </c>
      <c r="F75" s="343" t="s">
        <v>199</v>
      </c>
      <c r="G75" s="257"/>
      <c r="H75" s="262"/>
      <c r="I75" s="745"/>
      <c r="J75" s="300" t="e">
        <f t="shared" ref="J75:J80" ca="1" si="18">B75</f>
        <v>#REF!</v>
      </c>
      <c r="K75" s="294" t="e">
        <f t="shared" ca="1" si="9"/>
        <v>#REF!</v>
      </c>
      <c r="L75" s="295" t="e">
        <f t="shared" ca="1" si="10"/>
        <v>#REF!</v>
      </c>
      <c r="M75" s="359" t="e">
        <f t="shared" ca="1" si="15"/>
        <v>#REF!</v>
      </c>
      <c r="N75" s="343" t="str">
        <f t="shared" si="16"/>
        <v>일할계산</v>
      </c>
      <c r="P75" s="250"/>
    </row>
    <row r="76" spans="1:16" s="249" customFormat="1" ht="17.100000000000001" customHeight="1">
      <c r="A76" s="745"/>
      <c r="B76" s="298" t="e">
        <f ca="1">B52</f>
        <v>#REF!</v>
      </c>
      <c r="C76" s="299"/>
      <c r="D76" s="291"/>
      <c r="E76" s="292"/>
      <c r="F76" s="343"/>
      <c r="G76" s="257"/>
      <c r="H76" s="262"/>
      <c r="I76" s="745"/>
      <c r="J76" s="300" t="e">
        <f t="shared" ca="1" si="18"/>
        <v>#REF!</v>
      </c>
      <c r="K76" s="301">
        <f>C76</f>
        <v>0</v>
      </c>
      <c r="L76" s="296">
        <f>D76</f>
        <v>0</v>
      </c>
      <c r="M76" s="302">
        <f>E76</f>
        <v>0</v>
      </c>
      <c r="N76" s="343">
        <f t="shared" si="16"/>
        <v>0</v>
      </c>
      <c r="P76" s="250"/>
    </row>
    <row r="77" spans="1:16" s="249" customFormat="1" ht="17.100000000000001" customHeight="1">
      <c r="A77" s="745"/>
      <c r="B77" s="300" t="e">
        <f ca="1">C52</f>
        <v>#REF!</v>
      </c>
      <c r="C77" s="303"/>
      <c r="D77" s="747"/>
      <c r="E77" s="747"/>
      <c r="F77" s="343"/>
      <c r="G77" s="257"/>
      <c r="H77" s="262"/>
      <c r="I77" s="745">
        <f>A77</f>
        <v>0</v>
      </c>
      <c r="J77" s="300" t="e">
        <f t="shared" ca="1" si="18"/>
        <v>#REF!</v>
      </c>
      <c r="K77" s="304"/>
      <c r="L77" s="295"/>
      <c r="M77" s="305"/>
      <c r="N77" s="343"/>
      <c r="P77" s="250"/>
    </row>
    <row r="78" spans="1:16" s="249" customFormat="1" ht="17.100000000000001" customHeight="1">
      <c r="A78" s="745"/>
      <c r="B78" s="300" t="e">
        <f ca="1">D52</f>
        <v>#REF!</v>
      </c>
      <c r="C78" s="330" t="e">
        <f ca="1">INDIRECT(ADDRESS(3*O45-2+10,3,,,"급여대장"))</f>
        <v>#REF!</v>
      </c>
      <c r="D78" s="295" t="e">
        <f ca="1">"x "&amp;_xlfn.XLOOKUP(Q45,#REF!,#REF!)&amp;" x"</f>
        <v>#REF!</v>
      </c>
      <c r="E78" s="363" t="e">
        <f ca="1">F78/C78/_xlfn.XLOOKUP(Q45,#REF!,#REF!)</f>
        <v>#REF!</v>
      </c>
      <c r="F78" s="344" t="e">
        <f ca="1">D55</f>
        <v>#REF!</v>
      </c>
      <c r="G78" s="257"/>
      <c r="H78" s="262"/>
      <c r="I78" s="745"/>
      <c r="J78" s="300" t="e">
        <f t="shared" ca="1" si="18"/>
        <v>#REF!</v>
      </c>
      <c r="K78" s="301" t="e">
        <f ca="1">C78</f>
        <v>#REF!</v>
      </c>
      <c r="L78" s="296" t="e">
        <f ca="1">D78</f>
        <v>#REF!</v>
      </c>
      <c r="M78" s="364" t="e">
        <f ca="1">E78</f>
        <v>#REF!</v>
      </c>
      <c r="N78" s="343" t="e">
        <f t="shared" ref="N78" ca="1" si="19">F78</f>
        <v>#REF!</v>
      </c>
      <c r="P78" s="250"/>
    </row>
    <row r="79" spans="1:16" s="249" customFormat="1" ht="17.100000000000001" customHeight="1" thickBot="1">
      <c r="A79" s="746"/>
      <c r="B79" s="307" t="e">
        <f ca="1">E52</f>
        <v>#REF!</v>
      </c>
      <c r="C79" s="308"/>
      <c r="D79" s="309"/>
      <c r="E79" s="310"/>
      <c r="F79" s="345"/>
      <c r="G79" s="257"/>
      <c r="H79" s="262"/>
      <c r="I79" s="746"/>
      <c r="J79" s="307" t="e">
        <f t="shared" ca="1" si="18"/>
        <v>#REF!</v>
      </c>
      <c r="K79" s="311"/>
      <c r="L79" s="309"/>
      <c r="M79" s="312"/>
      <c r="N79" s="348"/>
      <c r="P79" s="250"/>
    </row>
    <row r="80" spans="1:16" s="249" customFormat="1" ht="17.100000000000001" customHeight="1">
      <c r="A80" s="745" t="s">
        <v>200</v>
      </c>
      <c r="B80" s="313" t="e">
        <f ca="1">B58</f>
        <v>#REF!</v>
      </c>
      <c r="C80" s="314"/>
      <c r="D80" s="315"/>
      <c r="E80" s="316"/>
      <c r="F80" s="346"/>
      <c r="G80" s="257"/>
      <c r="H80" s="262"/>
      <c r="I80" s="745" t="str">
        <f>A80</f>
        <v>공제방법</v>
      </c>
      <c r="J80" s="313" t="e">
        <f t="shared" ca="1" si="18"/>
        <v>#REF!</v>
      </c>
      <c r="K80" s="317"/>
      <c r="L80" s="318"/>
      <c r="M80" s="319"/>
      <c r="N80" s="349"/>
      <c r="P80" s="250"/>
    </row>
    <row r="81" spans="1:16" s="249" customFormat="1" ht="17.100000000000001" customHeight="1">
      <c r="A81" s="745"/>
      <c r="B81" s="320" t="e">
        <f ca="1">C58</f>
        <v>#REF!</v>
      </c>
      <c r="C81" s="303"/>
      <c r="D81" s="306"/>
      <c r="E81" s="321"/>
      <c r="F81" s="347"/>
      <c r="G81" s="257"/>
      <c r="H81" s="262"/>
      <c r="I81" s="745"/>
      <c r="J81" s="322" t="e">
        <f ca="1">B81</f>
        <v>#REF!</v>
      </c>
      <c r="K81" s="304"/>
      <c r="L81" s="306"/>
      <c r="M81" s="323"/>
      <c r="N81" s="347"/>
      <c r="P81" s="250"/>
    </row>
    <row r="82" spans="1:16" s="249" customFormat="1" ht="17.100000000000001" customHeight="1">
      <c r="A82" s="745"/>
      <c r="B82" s="320" t="e">
        <f ca="1">D58</f>
        <v>#REF!</v>
      </c>
      <c r="C82" s="303"/>
      <c r="D82" s="306"/>
      <c r="E82" s="321"/>
      <c r="F82" s="347"/>
      <c r="G82" s="257"/>
      <c r="H82" s="262"/>
      <c r="I82" s="745"/>
      <c r="J82" s="322" t="e">
        <f t="shared" ref="J82:J83" ca="1" si="20">B82</f>
        <v>#REF!</v>
      </c>
      <c r="K82" s="304"/>
      <c r="L82" s="306"/>
      <c r="M82" s="323"/>
      <c r="N82" s="347"/>
      <c r="P82" s="250"/>
    </row>
    <row r="83" spans="1:16" s="249" customFormat="1" ht="17.100000000000001" customHeight="1" thickBot="1">
      <c r="A83" s="746"/>
      <c r="B83" s="324"/>
      <c r="C83" s="308"/>
      <c r="D83" s="309"/>
      <c r="E83" s="325"/>
      <c r="F83" s="345"/>
      <c r="G83" s="257"/>
      <c r="H83" s="262"/>
      <c r="I83" s="746"/>
      <c r="J83" s="307">
        <f t="shared" si="20"/>
        <v>0</v>
      </c>
      <c r="K83" s="311"/>
      <c r="L83" s="309"/>
      <c r="M83" s="326"/>
      <c r="N83" s="345"/>
      <c r="P83" s="250"/>
    </row>
    <row r="84" spans="1:16" s="249" customFormat="1" ht="8.25" customHeight="1" thickBot="1">
      <c r="A84" s="327"/>
      <c r="B84" s="328"/>
      <c r="C84" s="328"/>
      <c r="D84" s="328"/>
      <c r="E84" s="327"/>
      <c r="F84" s="327"/>
      <c r="G84" s="257"/>
      <c r="H84" s="262"/>
      <c r="I84" s="327"/>
      <c r="J84" s="328"/>
      <c r="K84" s="328"/>
      <c r="L84" s="328"/>
      <c r="M84" s="327"/>
      <c r="N84" s="327"/>
      <c r="P84" s="250"/>
    </row>
    <row r="85" spans="1:16" s="249" customFormat="1" ht="15" customHeight="1" thickBot="1">
      <c r="A85" s="748"/>
      <c r="B85" s="749"/>
      <c r="C85" s="749"/>
      <c r="D85" s="749"/>
      <c r="E85" s="750"/>
      <c r="F85" s="743"/>
      <c r="G85" s="257"/>
      <c r="H85" s="262"/>
      <c r="I85" s="748"/>
      <c r="J85" s="749"/>
      <c r="K85" s="749"/>
      <c r="L85" s="751"/>
      <c r="M85" s="742"/>
      <c r="N85" s="743"/>
      <c r="P85" s="250"/>
    </row>
    <row r="86" spans="1:16" s="249" customFormat="1" ht="26.25" customHeight="1">
      <c r="A86" s="262" t="e">
        <f ca="1">INDIRECT(ADDRESS(4,1,,,"급여대장"))</f>
        <v>#REF!</v>
      </c>
      <c r="B86" s="329" t="e">
        <f ca="1">INDIRECT(ADDRESS(4,2,,,"급여대장"))</f>
        <v>#REF!</v>
      </c>
      <c r="C86" s="329"/>
      <c r="D86" s="329" t="s">
        <v>201</v>
      </c>
      <c r="E86" s="329"/>
      <c r="F86" s="329"/>
      <c r="G86" s="262"/>
      <c r="H86" s="262"/>
      <c r="I86" s="262" t="e">
        <f ca="1">A86</f>
        <v>#REF!</v>
      </c>
      <c r="J86" s="329" t="e">
        <f ca="1">B86</f>
        <v>#REF!</v>
      </c>
      <c r="K86" s="329"/>
      <c r="L86" s="329" t="str">
        <f>D86</f>
        <v>귀하의 노고에 감사드립니다.</v>
      </c>
      <c r="M86" s="329"/>
      <c r="N86" s="329"/>
      <c r="P86" s="250"/>
    </row>
  </sheetData>
  <mergeCells count="94">
    <mergeCell ref="B1:C1"/>
    <mergeCell ref="D1:F1"/>
    <mergeCell ref="J1:K1"/>
    <mergeCell ref="L1:N1"/>
    <mergeCell ref="A3:B3"/>
    <mergeCell ref="C3:D3"/>
    <mergeCell ref="I3:J3"/>
    <mergeCell ref="K3:L3"/>
    <mergeCell ref="C4:D4"/>
    <mergeCell ref="E4:F4"/>
    <mergeCell ref="K4:L4"/>
    <mergeCell ref="M4:N4"/>
    <mergeCell ref="C5:D5"/>
    <mergeCell ref="E5:F5"/>
    <mergeCell ref="K5:L5"/>
    <mergeCell ref="M5:N5"/>
    <mergeCell ref="A7:A12"/>
    <mergeCell ref="F7:F9"/>
    <mergeCell ref="I7:I12"/>
    <mergeCell ref="N7:N9"/>
    <mergeCell ref="F10:F12"/>
    <mergeCell ref="N10:N12"/>
    <mergeCell ref="A13:A18"/>
    <mergeCell ref="F13:F15"/>
    <mergeCell ref="I13:I18"/>
    <mergeCell ref="N13:N15"/>
    <mergeCell ref="F16:F18"/>
    <mergeCell ref="N16:N18"/>
    <mergeCell ref="N19:N21"/>
    <mergeCell ref="E22:E24"/>
    <mergeCell ref="F22:F24"/>
    <mergeCell ref="M22:M24"/>
    <mergeCell ref="N22:N24"/>
    <mergeCell ref="A19:A24"/>
    <mergeCell ref="E19:E21"/>
    <mergeCell ref="F19:F21"/>
    <mergeCell ref="I19:I24"/>
    <mergeCell ref="M19:M21"/>
    <mergeCell ref="A46:B46"/>
    <mergeCell ref="C46:D46"/>
    <mergeCell ref="I46:J46"/>
    <mergeCell ref="K46:L46"/>
    <mergeCell ref="A25:A36"/>
    <mergeCell ref="I25:I36"/>
    <mergeCell ref="D34:E34"/>
    <mergeCell ref="A37:A40"/>
    <mergeCell ref="I37:I40"/>
    <mergeCell ref="A42:D42"/>
    <mergeCell ref="E42:F42"/>
    <mergeCell ref="I42:L42"/>
    <mergeCell ref="M42:N42"/>
    <mergeCell ref="B44:C44"/>
    <mergeCell ref="D44:F44"/>
    <mergeCell ref="J44:K44"/>
    <mergeCell ref="L44:N44"/>
    <mergeCell ref="C47:D47"/>
    <mergeCell ref="E47:F47"/>
    <mergeCell ref="K47:L47"/>
    <mergeCell ref="M47:N47"/>
    <mergeCell ref="C48:D48"/>
    <mergeCell ref="E48:F48"/>
    <mergeCell ref="K48:L48"/>
    <mergeCell ref="M48:N48"/>
    <mergeCell ref="A50:A55"/>
    <mergeCell ref="F50:F52"/>
    <mergeCell ref="I50:I55"/>
    <mergeCell ref="N50:N52"/>
    <mergeCell ref="F53:F55"/>
    <mergeCell ref="N53:N55"/>
    <mergeCell ref="A56:A61"/>
    <mergeCell ref="F56:F58"/>
    <mergeCell ref="I56:I61"/>
    <mergeCell ref="N56:N58"/>
    <mergeCell ref="F59:F61"/>
    <mergeCell ref="N59:N61"/>
    <mergeCell ref="N62:N64"/>
    <mergeCell ref="E65:E67"/>
    <mergeCell ref="F65:F67"/>
    <mergeCell ref="M65:M67"/>
    <mergeCell ref="N65:N67"/>
    <mergeCell ref="A62:A67"/>
    <mergeCell ref="E62:E64"/>
    <mergeCell ref="F62:F64"/>
    <mergeCell ref="I62:I67"/>
    <mergeCell ref="M62:M64"/>
    <mergeCell ref="M85:N85"/>
    <mergeCell ref="A68:A79"/>
    <mergeCell ref="I68:I79"/>
    <mergeCell ref="D77:E77"/>
    <mergeCell ref="A80:A83"/>
    <mergeCell ref="I80:I83"/>
    <mergeCell ref="A85:D85"/>
    <mergeCell ref="E85:F85"/>
    <mergeCell ref="I85:L85"/>
  </mergeCells>
  <phoneticPr fontId="15" type="noConversion"/>
  <pageMargins left="0.39370078740157483" right="0.39370078740157483" top="0.43307086614173229" bottom="0.47244094488188981" header="0.31496062992125984" footer="0.31496062992125984"/>
  <pageSetup paperSize="9" scale="70" orientation="landscape" r:id="rId1"/>
  <ignoredErrors>
    <ignoredError sqref="A1:N2 A37:N43 A35 G35:J35 A34 A33 C33:N33 C34:N34 A36 C36:N36 A4:N24 A3:F3 G3:N3 A31:N32 A25:B25 D25 A26:B26 D26:N26 A27:B27 D27:N27 A28:B28 D28:N28 A29:B29 D29:N29 A30:B30 D30:N30 F25:N25" unlocked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052F8-FF9A-42F7-A545-357807F80A7C}">
  <dimension ref="A1:BR69"/>
  <sheetViews>
    <sheetView showGridLines="0" view="pageBreakPreview" zoomScale="55" zoomScaleNormal="55" zoomScaleSheetLayoutView="55" workbookViewId="0">
      <pane xSplit="9" ySplit="6" topLeftCell="J7" activePane="bottomRight" state="frozen"/>
      <selection activeCell="AL21" sqref="AL21:AL22"/>
      <selection pane="topRight" activeCell="AL21" sqref="AL21:AL22"/>
      <selection pane="bottomLeft" activeCell="AL21" sqref="AL21:AL22"/>
      <selection pane="bottomRight" activeCell="AL21" sqref="AL21:AL22"/>
    </sheetView>
  </sheetViews>
  <sheetFormatPr defaultColWidth="8.88671875" defaultRowHeight="16.5"/>
  <cols>
    <col min="1" max="1" width="5.44140625" style="137" customWidth="1"/>
    <col min="2" max="2" width="1.33203125" style="137" customWidth="1"/>
    <col min="3" max="3" width="12.6640625" style="137" customWidth="1"/>
    <col min="4" max="4" width="20.77734375" style="137" customWidth="1"/>
    <col min="5" max="5" width="13.21875" style="137" hidden="1" customWidth="1"/>
    <col min="6" max="6" width="8.88671875" style="137" hidden="1" customWidth="1"/>
    <col min="7" max="7" width="17.33203125" style="137" hidden="1" customWidth="1"/>
    <col min="8" max="8" width="9.21875" style="137" customWidth="1"/>
    <col min="9" max="9" width="13.6640625" style="137" customWidth="1"/>
    <col min="10" max="25" width="6.109375" style="137" customWidth="1"/>
    <col min="26" max="26" width="6.77734375" style="137" customWidth="1"/>
    <col min="27" max="27" width="4.5546875" style="210" bestFit="1" customWidth="1"/>
    <col min="28" max="28" width="10.77734375" style="137" customWidth="1"/>
    <col min="29" max="29" width="18.109375" style="2" customWidth="1"/>
    <col min="30" max="35" width="12.77734375" style="2" customWidth="1"/>
    <col min="36" max="36" width="14" style="30" customWidth="1"/>
    <col min="37" max="37" width="14.5546875" style="30" customWidth="1"/>
    <col min="38" max="38" width="17.6640625" style="189" customWidth="1"/>
    <col min="39" max="39" width="0.109375" style="2" customWidth="1"/>
    <col min="40" max="40" width="8.88671875" style="2" customWidth="1"/>
    <col min="41" max="41" width="6.21875" style="137" customWidth="1"/>
    <col min="42" max="42" width="7.44140625" style="137" customWidth="1"/>
    <col min="43" max="43" width="9.44140625" style="137" customWidth="1"/>
    <col min="44" max="44" width="11.77734375" style="137" customWidth="1"/>
    <col min="45" max="45" width="12.21875" style="137" bestFit="1" customWidth="1"/>
    <col min="46" max="46" width="16.77734375" style="137" customWidth="1"/>
    <col min="47" max="50" width="12.21875" style="137" bestFit="1" customWidth="1"/>
    <col min="51" max="51" width="16.33203125" style="137" bestFit="1" customWidth="1"/>
    <col min="52" max="16384" width="8.88671875" style="137"/>
  </cols>
  <sheetData>
    <row r="1" spans="1:70" ht="17.25" thickBot="1"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9"/>
      <c r="AB1" s="138"/>
      <c r="AC1" s="140"/>
      <c r="AD1" s="140"/>
      <c r="AE1" s="140"/>
      <c r="AF1" s="140"/>
      <c r="AG1" s="140"/>
      <c r="AH1" s="140"/>
      <c r="AI1" s="140"/>
      <c r="AJ1" s="141"/>
      <c r="AK1" s="141"/>
      <c r="AL1" s="142"/>
      <c r="AM1" s="140"/>
      <c r="AN1" s="140"/>
    </row>
    <row r="2" spans="1:70" s="143" customFormat="1" ht="78" customHeight="1" thickBot="1">
      <c r="B2" s="144"/>
      <c r="C2" s="988" t="e">
        <f>#REF!</f>
        <v>#REF!</v>
      </c>
      <c r="D2" s="989"/>
      <c r="E2" s="989"/>
      <c r="F2" s="990" t="s">
        <v>146</v>
      </c>
      <c r="G2" s="990"/>
      <c r="H2" s="990"/>
      <c r="I2" s="990"/>
      <c r="J2" s="990"/>
      <c r="K2" s="990"/>
      <c r="L2" s="990"/>
      <c r="M2" s="990"/>
      <c r="N2" s="990"/>
      <c r="O2" s="990"/>
      <c r="P2" s="990"/>
      <c r="Q2" s="990"/>
      <c r="R2" s="990"/>
      <c r="S2" s="990"/>
      <c r="T2" s="990"/>
      <c r="U2" s="990"/>
      <c r="V2" s="990"/>
      <c r="W2" s="990"/>
      <c r="X2" s="990"/>
      <c r="Y2" s="990"/>
      <c r="Z2" s="990"/>
      <c r="AA2" s="990"/>
      <c r="AB2" s="145"/>
      <c r="AC2" s="991" t="e">
        <f>#REF!</f>
        <v>#REF!</v>
      </c>
      <c r="AD2" s="991"/>
      <c r="AE2" s="991"/>
      <c r="AF2" s="146"/>
      <c r="AG2" s="146"/>
      <c r="AH2" s="146"/>
      <c r="AI2" s="146"/>
      <c r="AJ2" s="146"/>
      <c r="AK2" s="146"/>
      <c r="AL2" s="147"/>
      <c r="AM2" s="148"/>
      <c r="AN2" s="149"/>
    </row>
    <row r="3" spans="1:70" ht="31.5" customHeight="1" thickBot="1"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9"/>
      <c r="AB3" s="138"/>
      <c r="AC3" s="140"/>
      <c r="AD3" s="140"/>
      <c r="AE3" s="140"/>
      <c r="AF3" s="140"/>
      <c r="AG3" s="140"/>
      <c r="AH3" s="140"/>
      <c r="AI3" s="140"/>
      <c r="AJ3" s="141"/>
      <c r="AK3" s="141"/>
      <c r="AL3" s="142"/>
      <c r="AM3" s="140"/>
      <c r="AN3" s="140"/>
    </row>
    <row r="4" spans="1:70" ht="37.5" customHeight="1" thickTop="1">
      <c r="B4" s="138"/>
      <c r="C4" s="992" t="s">
        <v>145</v>
      </c>
      <c r="D4" s="150" t="s">
        <v>25</v>
      </c>
      <c r="E4" s="995" t="s">
        <v>147</v>
      </c>
      <c r="F4" s="995" t="s">
        <v>148</v>
      </c>
      <c r="G4" s="995" t="s">
        <v>149</v>
      </c>
      <c r="H4" s="995" t="s">
        <v>191</v>
      </c>
      <c r="I4" s="995" t="s">
        <v>150</v>
      </c>
      <c r="J4" s="998" t="s">
        <v>26</v>
      </c>
      <c r="K4" s="999"/>
      <c r="L4" s="999"/>
      <c r="M4" s="999"/>
      <c r="N4" s="999"/>
      <c r="O4" s="999"/>
      <c r="P4" s="999"/>
      <c r="Q4" s="999"/>
      <c r="R4" s="999"/>
      <c r="S4" s="999"/>
      <c r="T4" s="999"/>
      <c r="U4" s="999"/>
      <c r="V4" s="999"/>
      <c r="W4" s="999"/>
      <c r="X4" s="999"/>
      <c r="Y4" s="999"/>
      <c r="Z4" s="999"/>
      <c r="AA4" s="1000"/>
      <c r="AB4" s="995" t="s">
        <v>151</v>
      </c>
      <c r="AC4" s="1001" t="s">
        <v>152</v>
      </c>
      <c r="AD4" s="1002"/>
      <c r="AE4" s="1002"/>
      <c r="AF4" s="1002"/>
      <c r="AG4" s="1002"/>
      <c r="AH4" s="1002"/>
      <c r="AI4" s="1002"/>
      <c r="AJ4" s="1002"/>
      <c r="AK4" s="1002"/>
      <c r="AL4" s="1003"/>
      <c r="AM4" s="151" t="s">
        <v>153</v>
      </c>
      <c r="AN4" s="966" t="s">
        <v>154</v>
      </c>
    </row>
    <row r="5" spans="1:70" ht="37.5" customHeight="1">
      <c r="B5" s="138"/>
      <c r="C5" s="993"/>
      <c r="D5" s="152" t="s">
        <v>155</v>
      </c>
      <c r="E5" s="996"/>
      <c r="F5" s="996"/>
      <c r="G5" s="996"/>
      <c r="H5" s="996"/>
      <c r="I5" s="996"/>
      <c r="J5" s="153">
        <v>1</v>
      </c>
      <c r="K5" s="154">
        <v>2</v>
      </c>
      <c r="L5" s="155">
        <v>3</v>
      </c>
      <c r="M5" s="154">
        <v>4</v>
      </c>
      <c r="N5" s="154">
        <v>5</v>
      </c>
      <c r="O5" s="154">
        <v>6</v>
      </c>
      <c r="P5" s="154">
        <v>7</v>
      </c>
      <c r="Q5" s="154">
        <v>8</v>
      </c>
      <c r="R5" s="154">
        <v>9</v>
      </c>
      <c r="S5" s="155">
        <v>10</v>
      </c>
      <c r="T5" s="154">
        <v>11</v>
      </c>
      <c r="U5" s="154">
        <v>12</v>
      </c>
      <c r="V5" s="154">
        <v>13</v>
      </c>
      <c r="W5" s="154">
        <v>14</v>
      </c>
      <c r="X5" s="154">
        <v>15</v>
      </c>
      <c r="Y5" s="156"/>
      <c r="Z5" s="969" t="s">
        <v>156</v>
      </c>
      <c r="AA5" s="970"/>
      <c r="AB5" s="996"/>
      <c r="AC5" s="973" t="s">
        <v>157</v>
      </c>
      <c r="AD5" s="975" t="s">
        <v>158</v>
      </c>
      <c r="AE5" s="976"/>
      <c r="AF5" s="976"/>
      <c r="AG5" s="976"/>
      <c r="AH5" s="976"/>
      <c r="AI5" s="976"/>
      <c r="AJ5" s="976"/>
      <c r="AK5" s="977"/>
      <c r="AL5" s="978" t="s">
        <v>159</v>
      </c>
      <c r="AM5" s="157" t="s">
        <v>160</v>
      </c>
      <c r="AN5" s="967"/>
    </row>
    <row r="6" spans="1:70" ht="37.5" customHeight="1" thickBot="1">
      <c r="B6" s="138"/>
      <c r="C6" s="994"/>
      <c r="D6" s="158" t="s">
        <v>161</v>
      </c>
      <c r="E6" s="997"/>
      <c r="F6" s="997"/>
      <c r="G6" s="997"/>
      <c r="H6" s="997"/>
      <c r="I6" s="997"/>
      <c r="J6" s="159">
        <v>16</v>
      </c>
      <c r="K6" s="161">
        <v>17</v>
      </c>
      <c r="L6" s="160">
        <v>18</v>
      </c>
      <c r="M6" s="160">
        <v>19</v>
      </c>
      <c r="N6" s="160">
        <v>20</v>
      </c>
      <c r="O6" s="160">
        <v>21</v>
      </c>
      <c r="P6" s="160">
        <v>22</v>
      </c>
      <c r="Q6" s="160">
        <v>23</v>
      </c>
      <c r="R6" s="161">
        <v>24</v>
      </c>
      <c r="S6" s="160">
        <v>25</v>
      </c>
      <c r="T6" s="160">
        <v>26</v>
      </c>
      <c r="U6" s="160">
        <v>27</v>
      </c>
      <c r="V6" s="160">
        <v>28</v>
      </c>
      <c r="W6" s="160">
        <v>29</v>
      </c>
      <c r="X6" s="160">
        <v>30</v>
      </c>
      <c r="Y6" s="238">
        <v>31</v>
      </c>
      <c r="Z6" s="971"/>
      <c r="AA6" s="972"/>
      <c r="AB6" s="997"/>
      <c r="AC6" s="974"/>
      <c r="AD6" s="162" t="s">
        <v>162</v>
      </c>
      <c r="AE6" s="163" t="s">
        <v>163</v>
      </c>
      <c r="AF6" s="163" t="s">
        <v>164</v>
      </c>
      <c r="AG6" s="163" t="s">
        <v>165</v>
      </c>
      <c r="AH6" s="163" t="s">
        <v>166</v>
      </c>
      <c r="AI6" s="164" t="s">
        <v>167</v>
      </c>
      <c r="AJ6" s="165" t="s">
        <v>168</v>
      </c>
      <c r="AK6" s="166" t="s">
        <v>169</v>
      </c>
      <c r="AL6" s="979"/>
      <c r="AM6" s="167"/>
      <c r="AN6" s="968"/>
      <c r="AO6" s="168"/>
      <c r="AP6" s="168"/>
      <c r="AQ6" s="242" t="s">
        <v>189</v>
      </c>
      <c r="AR6" s="243" t="s">
        <v>188</v>
      </c>
      <c r="AS6" s="242" t="s">
        <v>190</v>
      </c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68"/>
    </row>
    <row r="7" spans="1:70" ht="45" customHeight="1" thickTop="1">
      <c r="A7" s="169">
        <v>29</v>
      </c>
      <c r="B7" s="138"/>
      <c r="C7" s="961" t="e">
        <f>VLOOKUP(A7,#REF!,3,0)</f>
        <v>#REF!</v>
      </c>
      <c r="D7" s="963" t="e">
        <f>VLOOKUP(A7,#REF!,7,0)</f>
        <v>#REF!</v>
      </c>
      <c r="E7" s="963"/>
      <c r="F7" s="964"/>
      <c r="G7" s="964"/>
      <c r="H7" s="965" t="e">
        <f>I7/10</f>
        <v>#REF!</v>
      </c>
      <c r="I7" s="956" t="e">
        <f>VLOOKUP(A7,#REF!,9,0)</f>
        <v>#REF!</v>
      </c>
      <c r="J7" s="170">
        <v>1</v>
      </c>
      <c r="K7" s="170">
        <v>1</v>
      </c>
      <c r="L7" s="240"/>
      <c r="M7" s="170">
        <v>1</v>
      </c>
      <c r="N7" s="170">
        <v>1</v>
      </c>
      <c r="O7" s="170">
        <v>1</v>
      </c>
      <c r="P7" s="170">
        <v>1</v>
      </c>
      <c r="Q7" s="170">
        <v>1</v>
      </c>
      <c r="R7" s="170">
        <v>1</v>
      </c>
      <c r="S7" s="240"/>
      <c r="T7" s="170">
        <v>1</v>
      </c>
      <c r="U7" s="170"/>
      <c r="V7" s="170"/>
      <c r="W7" s="170"/>
      <c r="X7" s="170">
        <v>1</v>
      </c>
      <c r="Y7" s="171"/>
      <c r="Z7" s="957">
        <f>SUM(J7:Y8)</f>
        <v>23</v>
      </c>
      <c r="AA7" s="958" t="s">
        <v>170</v>
      </c>
      <c r="AB7" s="959" t="s">
        <v>186</v>
      </c>
      <c r="AC7" s="960" t="e">
        <f>I7*Z7</f>
        <v>#REF!</v>
      </c>
      <c r="AD7" s="919"/>
      <c r="AE7" s="919">
        <f t="shared" ref="AE7:AE9" si="0">ROUNDDOWN(AD7*10%,-1)</f>
        <v>0</v>
      </c>
      <c r="AF7" s="954" t="e">
        <f>VLOOKUP(C7,#REF!,14,0)</f>
        <v>#REF!</v>
      </c>
      <c r="AG7" s="955" t="e">
        <f>ROUNDDOWN(AC7*0.8%,-1)</f>
        <v>#REF!</v>
      </c>
      <c r="AH7" s="955" t="e">
        <f>ROUNDDOWN(AC7*3.43%,-1)</f>
        <v>#REF!</v>
      </c>
      <c r="AI7" s="985" t="e">
        <f>ROUNDDOWN(AH7*11.52%,-1)</f>
        <v>#REF!</v>
      </c>
      <c r="AJ7" s="986">
        <f>100000+1000000</f>
        <v>1100000</v>
      </c>
      <c r="AK7" s="980" t="e">
        <f>SUM(AD7:AJ8)</f>
        <v>#REF!</v>
      </c>
      <c r="AL7" s="982" t="e">
        <f>AC7-AK7</f>
        <v>#REF!</v>
      </c>
      <c r="AM7" s="983"/>
      <c r="AN7" s="984" t="s">
        <v>171</v>
      </c>
      <c r="AO7" s="239">
        <f>COUNTIF(J7:X7,"&gt;0")</f>
        <v>10</v>
      </c>
      <c r="AP7" s="1005">
        <f>AO7+AO8</f>
        <v>23</v>
      </c>
      <c r="AQ7" s="1004">
        <v>23</v>
      </c>
      <c r="AR7" s="1004">
        <v>23</v>
      </c>
      <c r="AS7" s="1004">
        <v>0</v>
      </c>
    </row>
    <row r="8" spans="1:70" ht="45" customHeight="1">
      <c r="B8" s="138"/>
      <c r="C8" s="962"/>
      <c r="D8" s="937"/>
      <c r="E8" s="937"/>
      <c r="F8" s="941"/>
      <c r="G8" s="941"/>
      <c r="H8" s="953"/>
      <c r="I8" s="925"/>
      <c r="J8" s="174">
        <v>1</v>
      </c>
      <c r="K8" s="241"/>
      <c r="L8" s="174">
        <v>1</v>
      </c>
      <c r="M8" s="174">
        <v>1</v>
      </c>
      <c r="N8" s="174">
        <v>1</v>
      </c>
      <c r="O8" s="174">
        <v>1</v>
      </c>
      <c r="P8" s="174">
        <v>1</v>
      </c>
      <c r="Q8" s="174">
        <v>1</v>
      </c>
      <c r="R8" s="241"/>
      <c r="S8" s="174">
        <v>1</v>
      </c>
      <c r="T8" s="174">
        <v>1</v>
      </c>
      <c r="U8" s="174">
        <v>1</v>
      </c>
      <c r="V8" s="174">
        <v>1</v>
      </c>
      <c r="W8" s="174">
        <v>1</v>
      </c>
      <c r="X8" s="174">
        <v>1</v>
      </c>
      <c r="Y8" s="241"/>
      <c r="Z8" s="951"/>
      <c r="AA8" s="927"/>
      <c r="AB8" s="929"/>
      <c r="AC8" s="930"/>
      <c r="AD8" s="919"/>
      <c r="AE8" s="919"/>
      <c r="AF8" s="919"/>
      <c r="AG8" s="920"/>
      <c r="AH8" s="920"/>
      <c r="AI8" s="921"/>
      <c r="AJ8" s="987"/>
      <c r="AK8" s="981"/>
      <c r="AL8" s="906"/>
      <c r="AM8" s="908"/>
      <c r="AN8" s="949"/>
      <c r="AO8" s="239">
        <f>COUNTIF(J8:Y8,"&gt;0")</f>
        <v>13</v>
      </c>
      <c r="AP8" s="1005"/>
      <c r="AQ8" s="1004"/>
      <c r="AR8" s="1004"/>
      <c r="AS8" s="1004"/>
      <c r="AY8" s="177"/>
    </row>
    <row r="9" spans="1:70" ht="45" customHeight="1">
      <c r="A9" s="169">
        <f>A7+1</f>
        <v>30</v>
      </c>
      <c r="B9" s="138"/>
      <c r="C9" s="934" t="e">
        <f>VLOOKUP(A9,#REF!,3,0)</f>
        <v>#REF!</v>
      </c>
      <c r="D9" s="936" t="e">
        <f>VLOOKUP(A9,#REF!,7,0)</f>
        <v>#REF!</v>
      </c>
      <c r="E9" s="938"/>
      <c r="F9" s="940"/>
      <c r="G9" s="940"/>
      <c r="H9" s="952" t="e">
        <f>I9/10</f>
        <v>#REF!</v>
      </c>
      <c r="I9" s="924" t="e">
        <f>VLOOKUP(A9,#REF!,9,0)</f>
        <v>#REF!</v>
      </c>
      <c r="J9" s="170">
        <v>1</v>
      </c>
      <c r="K9" s="170">
        <v>1</v>
      </c>
      <c r="L9" s="240">
        <v>1.5</v>
      </c>
      <c r="M9" s="170">
        <v>0.5</v>
      </c>
      <c r="N9" s="170">
        <v>1</v>
      </c>
      <c r="O9" s="170">
        <v>1</v>
      </c>
      <c r="P9" s="170">
        <v>1</v>
      </c>
      <c r="Q9" s="170">
        <v>1</v>
      </c>
      <c r="R9" s="170">
        <v>1</v>
      </c>
      <c r="S9" s="240">
        <v>1.5</v>
      </c>
      <c r="T9" s="170">
        <v>1</v>
      </c>
      <c r="U9" s="170">
        <v>1</v>
      </c>
      <c r="V9" s="170">
        <v>1</v>
      </c>
      <c r="W9" s="170">
        <v>1</v>
      </c>
      <c r="X9" s="170">
        <v>1</v>
      </c>
      <c r="Y9" s="171"/>
      <c r="Z9" s="950">
        <f>SUM(J9:Y10)</f>
        <v>33</v>
      </c>
      <c r="AA9" s="926" t="s">
        <v>170</v>
      </c>
      <c r="AB9" s="928" t="s">
        <v>187</v>
      </c>
      <c r="AC9" s="930" t="e">
        <f>I9*Z9</f>
        <v>#REF!</v>
      </c>
      <c r="AD9" s="931"/>
      <c r="AE9" s="919">
        <f t="shared" si="0"/>
        <v>0</v>
      </c>
      <c r="AF9" s="919" t="e">
        <f>VLOOKUP(C9,#REF!,14,0)</f>
        <v>#REF!</v>
      </c>
      <c r="AG9" s="920" t="e">
        <f>ROUNDDOWN(AC9*0.8%,-1)</f>
        <v>#REF!</v>
      </c>
      <c r="AH9" s="920" t="e">
        <f t="shared" ref="AH9" si="1">ROUNDDOWN(AC9*3.43%,-1)</f>
        <v>#REF!</v>
      </c>
      <c r="AI9" s="921" t="e">
        <f t="shared" ref="AI9" si="2">ROUNDDOWN(AH9*11.52%,-1)</f>
        <v>#REF!</v>
      </c>
      <c r="AJ9" s="946">
        <f>100000</f>
        <v>100000</v>
      </c>
      <c r="AK9" s="903" t="e">
        <f t="shared" ref="AK9" si="3">SUM(AD9:AJ10)</f>
        <v>#REF!</v>
      </c>
      <c r="AL9" s="905" t="e">
        <f t="shared" ref="AL9" si="4">AC9-AK9</f>
        <v>#REF!</v>
      </c>
      <c r="AM9" s="907"/>
      <c r="AN9" s="948" t="s">
        <v>172</v>
      </c>
      <c r="AO9" s="239">
        <f>COUNTIF(J9:X9,"&gt;0")</f>
        <v>15</v>
      </c>
      <c r="AP9" s="1005">
        <f>AO9+AO10</f>
        <v>31</v>
      </c>
      <c r="AQ9" s="1004">
        <v>26</v>
      </c>
      <c r="AR9" s="1004">
        <v>25.5</v>
      </c>
      <c r="AS9" s="1004">
        <v>5</v>
      </c>
      <c r="AY9" s="368"/>
    </row>
    <row r="10" spans="1:70" ht="45" customHeight="1">
      <c r="B10" s="138"/>
      <c r="C10" s="935"/>
      <c r="D10" s="937"/>
      <c r="E10" s="939"/>
      <c r="F10" s="941"/>
      <c r="G10" s="941"/>
      <c r="H10" s="953"/>
      <c r="I10" s="925"/>
      <c r="J10" s="174">
        <v>1</v>
      </c>
      <c r="K10" s="241">
        <v>1.5</v>
      </c>
      <c r="L10" s="174">
        <v>1</v>
      </c>
      <c r="M10" s="174">
        <v>1</v>
      </c>
      <c r="N10" s="174">
        <v>1</v>
      </c>
      <c r="O10" s="174">
        <v>1</v>
      </c>
      <c r="P10" s="174">
        <v>1</v>
      </c>
      <c r="Q10" s="174">
        <v>1</v>
      </c>
      <c r="R10" s="241">
        <v>1.5</v>
      </c>
      <c r="S10" s="174">
        <v>1</v>
      </c>
      <c r="T10" s="174">
        <v>1</v>
      </c>
      <c r="U10" s="174">
        <v>1</v>
      </c>
      <c r="V10" s="174">
        <v>1</v>
      </c>
      <c r="W10" s="174">
        <v>1</v>
      </c>
      <c r="X10" s="174">
        <v>1</v>
      </c>
      <c r="Y10" s="241">
        <v>1.5</v>
      </c>
      <c r="Z10" s="951"/>
      <c r="AA10" s="927"/>
      <c r="AB10" s="929"/>
      <c r="AC10" s="930"/>
      <c r="AD10" s="931"/>
      <c r="AE10" s="919"/>
      <c r="AF10" s="919"/>
      <c r="AG10" s="920"/>
      <c r="AH10" s="920"/>
      <c r="AI10" s="921"/>
      <c r="AJ10" s="947"/>
      <c r="AK10" s="904"/>
      <c r="AL10" s="906"/>
      <c r="AM10" s="908"/>
      <c r="AN10" s="949"/>
      <c r="AO10" s="239">
        <f>COUNTIF(J10:Y10,"&gt;0")</f>
        <v>16</v>
      </c>
      <c r="AP10" s="1005"/>
      <c r="AQ10" s="1004"/>
      <c r="AR10" s="1004"/>
      <c r="AS10" s="1004"/>
      <c r="AY10" s="368"/>
    </row>
    <row r="11" spans="1:70" ht="45" customHeight="1">
      <c r="A11" s="169">
        <f>A9+1</f>
        <v>31</v>
      </c>
      <c r="B11" s="138"/>
      <c r="C11" s="934" t="e">
        <f>VLOOKUP(A11,#REF!,3,0)</f>
        <v>#REF!</v>
      </c>
      <c r="D11" s="936" t="e">
        <f>VLOOKUP(A11,#REF!,7,0)</f>
        <v>#REF!</v>
      </c>
      <c r="E11" s="938"/>
      <c r="F11" s="940"/>
      <c r="G11" s="940"/>
      <c r="H11" s="952" t="e">
        <f>I11/10</f>
        <v>#REF!</v>
      </c>
      <c r="I11" s="924" t="e">
        <f>VLOOKUP(A11,#REF!,9,0)</f>
        <v>#REF!</v>
      </c>
      <c r="J11" s="170">
        <v>1</v>
      </c>
      <c r="K11" s="170">
        <v>1</v>
      </c>
      <c r="L11" s="240">
        <v>1.5</v>
      </c>
      <c r="M11" s="170">
        <v>1</v>
      </c>
      <c r="N11" s="170">
        <v>1</v>
      </c>
      <c r="O11" s="170">
        <v>1</v>
      </c>
      <c r="P11" s="170">
        <v>1</v>
      </c>
      <c r="Q11" s="170">
        <v>1</v>
      </c>
      <c r="R11" s="170">
        <v>1</v>
      </c>
      <c r="S11" s="240">
        <v>1.5</v>
      </c>
      <c r="T11" s="170">
        <v>1</v>
      </c>
      <c r="U11" s="170">
        <v>1</v>
      </c>
      <c r="V11" s="170">
        <v>1</v>
      </c>
      <c r="W11" s="170">
        <v>1</v>
      </c>
      <c r="X11" s="170">
        <v>1</v>
      </c>
      <c r="Y11" s="171"/>
      <c r="Z11" s="950">
        <f>SUM(J11:Y12)</f>
        <v>31.5</v>
      </c>
      <c r="AA11" s="926" t="s">
        <v>170</v>
      </c>
      <c r="AB11" s="928" t="s">
        <v>187</v>
      </c>
      <c r="AC11" s="930" t="e">
        <f>I11*Z11</f>
        <v>#REF!</v>
      </c>
      <c r="AD11" s="931"/>
      <c r="AE11" s="919">
        <f t="shared" ref="AE11" si="5">ROUNDDOWN(AD11*10%,-1)</f>
        <v>0</v>
      </c>
      <c r="AF11" s="919" t="e">
        <f>VLOOKUP(C11,#REF!,14,0)</f>
        <v>#REF!</v>
      </c>
      <c r="AG11" s="920" t="e">
        <f>ROUNDDOWN(AC11*0.8%,-1)</f>
        <v>#REF!</v>
      </c>
      <c r="AH11" s="920" t="e">
        <f t="shared" ref="AH11" si="6">ROUNDDOWN(AC11*3.43%,-1)</f>
        <v>#REF!</v>
      </c>
      <c r="AI11" s="921" t="e">
        <f t="shared" ref="AI11" si="7">ROUNDDOWN(AH11*11.52%,-1)</f>
        <v>#REF!</v>
      </c>
      <c r="AJ11" s="946">
        <v>1500000</v>
      </c>
      <c r="AK11" s="903" t="e">
        <f>SUM(AD11:AJ12)</f>
        <v>#REF!</v>
      </c>
      <c r="AL11" s="905" t="e">
        <f t="shared" ref="AL11" si="8">AC11-AK11</f>
        <v>#REF!</v>
      </c>
      <c r="AM11" s="907"/>
      <c r="AN11" s="948" t="s">
        <v>173</v>
      </c>
      <c r="AO11" s="239">
        <f>COUNTIF(J11:X11,"&gt;0")</f>
        <v>15</v>
      </c>
      <c r="AP11" s="1005">
        <f>AO11+AO12</f>
        <v>29</v>
      </c>
      <c r="AQ11" s="1004">
        <v>24</v>
      </c>
      <c r="AR11" s="1004">
        <v>24</v>
      </c>
      <c r="AS11" s="1004">
        <v>5</v>
      </c>
      <c r="AY11" s="368"/>
    </row>
    <row r="12" spans="1:70" ht="45" customHeight="1">
      <c r="B12" s="138"/>
      <c r="C12" s="935"/>
      <c r="D12" s="937"/>
      <c r="E12" s="939"/>
      <c r="F12" s="941"/>
      <c r="G12" s="941"/>
      <c r="H12" s="953"/>
      <c r="I12" s="925"/>
      <c r="J12" s="174">
        <v>1</v>
      </c>
      <c r="K12" s="241">
        <v>1.5</v>
      </c>
      <c r="L12" s="174">
        <v>1</v>
      </c>
      <c r="M12" s="174">
        <v>1</v>
      </c>
      <c r="N12" s="174">
        <v>1</v>
      </c>
      <c r="O12" s="174">
        <v>1</v>
      </c>
      <c r="P12" s="174">
        <v>1</v>
      </c>
      <c r="Q12" s="174">
        <v>1</v>
      </c>
      <c r="R12" s="241">
        <v>1.5</v>
      </c>
      <c r="S12" s="174">
        <v>1</v>
      </c>
      <c r="T12" s="174">
        <v>1</v>
      </c>
      <c r="U12" s="174">
        <v>1</v>
      </c>
      <c r="V12" s="174">
        <v>1</v>
      </c>
      <c r="W12" s="174"/>
      <c r="X12" s="174"/>
      <c r="Y12" s="241">
        <v>1.5</v>
      </c>
      <c r="Z12" s="951"/>
      <c r="AA12" s="927"/>
      <c r="AB12" s="929"/>
      <c r="AC12" s="930"/>
      <c r="AD12" s="931"/>
      <c r="AE12" s="919"/>
      <c r="AF12" s="919"/>
      <c r="AG12" s="920"/>
      <c r="AH12" s="920"/>
      <c r="AI12" s="921"/>
      <c r="AJ12" s="947"/>
      <c r="AK12" s="904"/>
      <c r="AL12" s="906"/>
      <c r="AM12" s="908"/>
      <c r="AN12" s="949"/>
      <c r="AO12" s="239">
        <f>COUNTIF(J12:Y12,"&gt;0")</f>
        <v>14</v>
      </c>
      <c r="AP12" s="1005"/>
      <c r="AQ12" s="1004"/>
      <c r="AR12" s="1004"/>
      <c r="AS12" s="1004"/>
      <c r="AY12" s="368"/>
    </row>
    <row r="13" spans="1:70" ht="45" customHeight="1">
      <c r="A13" s="169">
        <f>A11+1</f>
        <v>32</v>
      </c>
      <c r="B13" s="138"/>
      <c r="C13" s="934"/>
      <c r="D13" s="936"/>
      <c r="E13" s="938"/>
      <c r="F13" s="940"/>
      <c r="G13" s="940"/>
      <c r="H13" s="942"/>
      <c r="I13" s="924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1"/>
      <c r="Z13" s="817"/>
      <c r="AA13" s="926"/>
      <c r="AB13" s="928"/>
      <c r="AC13" s="930"/>
      <c r="AD13" s="931"/>
      <c r="AE13" s="919"/>
      <c r="AF13" s="919"/>
      <c r="AG13" s="920"/>
      <c r="AH13" s="920"/>
      <c r="AI13" s="921"/>
      <c r="AJ13" s="946"/>
      <c r="AK13" s="903"/>
      <c r="AL13" s="905"/>
      <c r="AM13" s="907"/>
      <c r="AN13" s="909"/>
      <c r="AO13" s="172"/>
      <c r="AP13" s="173"/>
    </row>
    <row r="14" spans="1:70" ht="45" customHeight="1">
      <c r="B14" s="138"/>
      <c r="C14" s="935"/>
      <c r="D14" s="937"/>
      <c r="E14" s="939"/>
      <c r="F14" s="941"/>
      <c r="G14" s="941"/>
      <c r="H14" s="943"/>
      <c r="I14" s="925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818"/>
      <c r="AA14" s="927"/>
      <c r="AB14" s="929"/>
      <c r="AC14" s="930"/>
      <c r="AD14" s="931"/>
      <c r="AE14" s="919"/>
      <c r="AF14" s="919"/>
      <c r="AG14" s="920"/>
      <c r="AH14" s="920"/>
      <c r="AI14" s="921"/>
      <c r="AJ14" s="947"/>
      <c r="AK14" s="904"/>
      <c r="AL14" s="906"/>
      <c r="AM14" s="908"/>
      <c r="AN14" s="910"/>
      <c r="AO14" s="172"/>
      <c r="AP14" s="175"/>
      <c r="AS14" s="350"/>
      <c r="AT14" s="350"/>
      <c r="AU14" s="350"/>
      <c r="AV14" s="350"/>
      <c r="AW14" s="350"/>
      <c r="AX14" s="350"/>
      <c r="AY14" s="350"/>
    </row>
    <row r="15" spans="1:70" ht="45" customHeight="1">
      <c r="A15" s="169">
        <f>A13+1</f>
        <v>33</v>
      </c>
      <c r="B15" s="138"/>
      <c r="C15" s="934"/>
      <c r="D15" s="936"/>
      <c r="E15" s="938"/>
      <c r="F15" s="940"/>
      <c r="G15" s="940"/>
      <c r="H15" s="942"/>
      <c r="I15" s="924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1"/>
      <c r="Z15" s="817"/>
      <c r="AA15" s="926"/>
      <c r="AB15" s="928"/>
      <c r="AC15" s="930"/>
      <c r="AD15" s="931"/>
      <c r="AE15" s="919"/>
      <c r="AF15" s="919"/>
      <c r="AG15" s="920"/>
      <c r="AH15" s="920"/>
      <c r="AI15" s="921"/>
      <c r="AJ15" s="946"/>
      <c r="AK15" s="903"/>
      <c r="AL15" s="905"/>
      <c r="AM15" s="907"/>
      <c r="AN15" s="909"/>
      <c r="AO15" s="172"/>
      <c r="AP15" s="173"/>
      <c r="AR15" s="368"/>
      <c r="AS15" s="368"/>
      <c r="AT15" s="368"/>
      <c r="AU15" s="368"/>
      <c r="AV15" s="368"/>
      <c r="AW15" s="368"/>
      <c r="AX15" s="177"/>
      <c r="AY15" s="177"/>
      <c r="AZ15" s="177"/>
    </row>
    <row r="16" spans="1:70" ht="45" customHeight="1">
      <c r="B16" s="138"/>
      <c r="C16" s="935"/>
      <c r="D16" s="937"/>
      <c r="E16" s="939"/>
      <c r="F16" s="941"/>
      <c r="G16" s="941"/>
      <c r="H16" s="943"/>
      <c r="I16" s="925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818"/>
      <c r="AA16" s="927"/>
      <c r="AB16" s="929"/>
      <c r="AC16" s="930"/>
      <c r="AD16" s="931"/>
      <c r="AE16" s="919"/>
      <c r="AF16" s="919"/>
      <c r="AG16" s="920"/>
      <c r="AH16" s="920"/>
      <c r="AI16" s="921"/>
      <c r="AJ16" s="947"/>
      <c r="AK16" s="904"/>
      <c r="AL16" s="906"/>
      <c r="AM16" s="908"/>
      <c r="AN16" s="910"/>
      <c r="AO16" s="172"/>
      <c r="AP16" s="175"/>
      <c r="AR16" s="368"/>
      <c r="AS16" s="368"/>
      <c r="AT16" s="368"/>
      <c r="AU16" s="368"/>
      <c r="AV16" s="368"/>
      <c r="AW16" s="368"/>
      <c r="AX16" s="177"/>
      <c r="AY16" s="177"/>
      <c r="AZ16" s="177"/>
    </row>
    <row r="17" spans="1:52" ht="45" customHeight="1">
      <c r="A17" s="169">
        <f>A15+1</f>
        <v>34</v>
      </c>
      <c r="B17" s="138"/>
      <c r="C17" s="934"/>
      <c r="D17" s="936"/>
      <c r="E17" s="938"/>
      <c r="F17" s="940"/>
      <c r="G17" s="940"/>
      <c r="H17" s="942"/>
      <c r="I17" s="924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1"/>
      <c r="Z17" s="817"/>
      <c r="AA17" s="926"/>
      <c r="AB17" s="928"/>
      <c r="AC17" s="930"/>
      <c r="AD17" s="931"/>
      <c r="AE17" s="919"/>
      <c r="AF17" s="919"/>
      <c r="AG17" s="920"/>
      <c r="AH17" s="920"/>
      <c r="AI17" s="921"/>
      <c r="AJ17" s="922"/>
      <c r="AK17" s="903"/>
      <c r="AL17" s="905"/>
      <c r="AM17" s="907"/>
      <c r="AN17" s="909"/>
      <c r="AO17" s="172"/>
      <c r="AP17" s="176"/>
      <c r="AQ17" s="177"/>
      <c r="AR17" s="368"/>
      <c r="AS17" s="368"/>
      <c r="AT17" s="368"/>
      <c r="AU17" s="368"/>
      <c r="AV17" s="368"/>
      <c r="AW17" s="368"/>
      <c r="AX17" s="177"/>
      <c r="AY17" s="177"/>
      <c r="AZ17" s="177"/>
    </row>
    <row r="18" spans="1:52" ht="45" customHeight="1">
      <c r="B18" s="138"/>
      <c r="C18" s="935"/>
      <c r="D18" s="937"/>
      <c r="E18" s="939"/>
      <c r="F18" s="941"/>
      <c r="G18" s="941"/>
      <c r="H18" s="943"/>
      <c r="I18" s="925"/>
      <c r="J18" s="174"/>
      <c r="K18" s="174"/>
      <c r="L18" s="174"/>
      <c r="M18" s="174"/>
      <c r="N18" s="174"/>
      <c r="O18" s="178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818"/>
      <c r="AA18" s="927"/>
      <c r="AB18" s="929"/>
      <c r="AC18" s="930"/>
      <c r="AD18" s="931"/>
      <c r="AE18" s="919"/>
      <c r="AF18" s="919"/>
      <c r="AG18" s="920"/>
      <c r="AH18" s="920"/>
      <c r="AI18" s="921"/>
      <c r="AJ18" s="923"/>
      <c r="AK18" s="904"/>
      <c r="AL18" s="906"/>
      <c r="AM18" s="908"/>
      <c r="AN18" s="910"/>
      <c r="AO18" s="172"/>
      <c r="AP18" s="179"/>
      <c r="AQ18" s="179"/>
      <c r="AR18" s="368"/>
      <c r="AS18" s="368"/>
      <c r="AT18" s="368"/>
      <c r="AU18" s="368"/>
      <c r="AV18" s="368"/>
      <c r="AW18" s="368"/>
      <c r="AX18" s="177"/>
      <c r="AY18" s="177"/>
      <c r="AZ18" s="177"/>
    </row>
    <row r="19" spans="1:52" ht="45" customHeight="1">
      <c r="A19" s="169">
        <f>A17+1</f>
        <v>35</v>
      </c>
      <c r="B19" s="138"/>
      <c r="C19" s="934"/>
      <c r="D19" s="936"/>
      <c r="E19" s="938"/>
      <c r="F19" s="940"/>
      <c r="G19" s="940"/>
      <c r="H19" s="942"/>
      <c r="I19" s="924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1"/>
      <c r="Z19" s="817"/>
      <c r="AA19" s="926"/>
      <c r="AB19" s="928"/>
      <c r="AC19" s="930"/>
      <c r="AD19" s="931"/>
      <c r="AE19" s="919"/>
      <c r="AF19" s="919"/>
      <c r="AG19" s="920"/>
      <c r="AH19" s="920"/>
      <c r="AI19" s="921"/>
      <c r="AJ19" s="922"/>
      <c r="AK19" s="903"/>
      <c r="AL19" s="905"/>
      <c r="AM19" s="907"/>
      <c r="AN19" s="944"/>
      <c r="AO19" s="172"/>
      <c r="AP19" s="180"/>
      <c r="AQ19" s="179"/>
      <c r="AR19" s="368"/>
      <c r="AS19" s="368"/>
      <c r="AT19" s="368"/>
      <c r="AU19" s="368"/>
      <c r="AV19" s="368"/>
      <c r="AW19" s="368"/>
      <c r="AX19" s="177"/>
      <c r="AY19" s="177"/>
      <c r="AZ19" s="177"/>
    </row>
    <row r="20" spans="1:52" ht="45" customHeight="1">
      <c r="B20" s="138"/>
      <c r="C20" s="935"/>
      <c r="D20" s="937"/>
      <c r="E20" s="939"/>
      <c r="F20" s="941"/>
      <c r="G20" s="941"/>
      <c r="H20" s="943"/>
      <c r="I20" s="925"/>
      <c r="J20" s="174"/>
      <c r="K20" s="174"/>
      <c r="L20" s="174"/>
      <c r="M20" s="174"/>
      <c r="N20" s="174"/>
      <c r="O20" s="178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818"/>
      <c r="AA20" s="927"/>
      <c r="AB20" s="929"/>
      <c r="AC20" s="930"/>
      <c r="AD20" s="931"/>
      <c r="AE20" s="919"/>
      <c r="AF20" s="919"/>
      <c r="AG20" s="920"/>
      <c r="AH20" s="920"/>
      <c r="AI20" s="921"/>
      <c r="AJ20" s="923"/>
      <c r="AK20" s="904"/>
      <c r="AL20" s="906"/>
      <c r="AM20" s="908"/>
      <c r="AN20" s="945"/>
      <c r="AO20" s="172"/>
      <c r="AR20" s="368"/>
      <c r="AS20" s="368"/>
      <c r="AT20" s="368"/>
      <c r="AU20" s="368"/>
      <c r="AV20" s="368"/>
      <c r="AW20" s="368"/>
      <c r="AX20" s="177"/>
      <c r="AY20" s="177"/>
      <c r="AZ20" s="177"/>
    </row>
    <row r="21" spans="1:52" ht="45" customHeight="1">
      <c r="A21" s="169">
        <f>A19+1</f>
        <v>36</v>
      </c>
      <c r="B21" s="138"/>
      <c r="C21" s="934"/>
      <c r="D21" s="936"/>
      <c r="E21" s="938"/>
      <c r="F21" s="940"/>
      <c r="G21" s="940"/>
      <c r="H21" s="942"/>
      <c r="I21" s="924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1"/>
      <c r="Z21" s="817"/>
      <c r="AA21" s="926"/>
      <c r="AB21" s="928"/>
      <c r="AC21" s="930"/>
      <c r="AD21" s="931"/>
      <c r="AE21" s="919"/>
      <c r="AF21" s="919"/>
      <c r="AG21" s="920"/>
      <c r="AH21" s="920"/>
      <c r="AI21" s="921"/>
      <c r="AJ21" s="922"/>
      <c r="AK21" s="903"/>
      <c r="AL21" s="905"/>
      <c r="AM21" s="907"/>
      <c r="AN21" s="909"/>
      <c r="AO21" s="172"/>
      <c r="AP21" s="173"/>
      <c r="AR21" s="368"/>
      <c r="AS21" s="368"/>
      <c r="AT21" s="368"/>
      <c r="AU21" s="368"/>
      <c r="AV21" s="368"/>
      <c r="AW21" s="368"/>
      <c r="AX21" s="177"/>
      <c r="AY21" s="177"/>
      <c r="AZ21" s="177"/>
    </row>
    <row r="22" spans="1:52" ht="45" customHeight="1">
      <c r="B22" s="138"/>
      <c r="C22" s="935"/>
      <c r="D22" s="937"/>
      <c r="E22" s="939"/>
      <c r="F22" s="941"/>
      <c r="G22" s="941"/>
      <c r="H22" s="943"/>
      <c r="I22" s="925"/>
      <c r="J22" s="174"/>
      <c r="K22" s="174"/>
      <c r="L22" s="174"/>
      <c r="M22" s="174"/>
      <c r="N22" s="174"/>
      <c r="O22" s="178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818"/>
      <c r="AA22" s="927"/>
      <c r="AB22" s="929"/>
      <c r="AC22" s="930"/>
      <c r="AD22" s="931"/>
      <c r="AE22" s="919"/>
      <c r="AF22" s="919"/>
      <c r="AG22" s="920"/>
      <c r="AH22" s="920"/>
      <c r="AI22" s="921"/>
      <c r="AJ22" s="923"/>
      <c r="AK22" s="904"/>
      <c r="AL22" s="906"/>
      <c r="AM22" s="908"/>
      <c r="AN22" s="910"/>
      <c r="AO22" s="172"/>
      <c r="AR22" s="366"/>
      <c r="AS22" s="366"/>
      <c r="AT22" s="366"/>
      <c r="AU22" s="366"/>
      <c r="AV22" s="366"/>
      <c r="AW22" s="366"/>
      <c r="AX22" s="367"/>
    </row>
    <row r="23" spans="1:52" ht="45" customHeight="1">
      <c r="A23" s="169">
        <f>A21+1</f>
        <v>37</v>
      </c>
      <c r="B23" s="138"/>
      <c r="C23" s="934"/>
      <c r="D23" s="936"/>
      <c r="E23" s="938"/>
      <c r="F23" s="940"/>
      <c r="G23" s="940"/>
      <c r="H23" s="942"/>
      <c r="I23" s="924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1"/>
      <c r="Z23" s="817"/>
      <c r="AA23" s="926"/>
      <c r="AB23" s="928"/>
      <c r="AC23" s="930"/>
      <c r="AD23" s="931"/>
      <c r="AE23" s="919"/>
      <c r="AF23" s="919"/>
      <c r="AG23" s="920"/>
      <c r="AH23" s="920"/>
      <c r="AI23" s="921"/>
      <c r="AJ23" s="922"/>
      <c r="AK23" s="903"/>
      <c r="AL23" s="905"/>
      <c r="AM23" s="907"/>
      <c r="AN23" s="909"/>
      <c r="AO23" s="172"/>
      <c r="AP23" s="173"/>
    </row>
    <row r="24" spans="1:52" ht="45" customHeight="1">
      <c r="B24" s="138"/>
      <c r="C24" s="935"/>
      <c r="D24" s="937"/>
      <c r="E24" s="939"/>
      <c r="F24" s="941"/>
      <c r="G24" s="941"/>
      <c r="H24" s="943"/>
      <c r="I24" s="925"/>
      <c r="J24" s="174"/>
      <c r="K24" s="174"/>
      <c r="L24" s="174"/>
      <c r="M24" s="174"/>
      <c r="N24" s="174"/>
      <c r="O24" s="181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818"/>
      <c r="AA24" s="927"/>
      <c r="AB24" s="929"/>
      <c r="AC24" s="930"/>
      <c r="AD24" s="931"/>
      <c r="AE24" s="919"/>
      <c r="AF24" s="919"/>
      <c r="AG24" s="920"/>
      <c r="AH24" s="920"/>
      <c r="AI24" s="921"/>
      <c r="AJ24" s="923"/>
      <c r="AK24" s="904"/>
      <c r="AL24" s="906"/>
      <c r="AM24" s="908"/>
      <c r="AN24" s="910"/>
      <c r="AO24" s="172"/>
    </row>
    <row r="25" spans="1:52" ht="45" customHeight="1">
      <c r="A25" s="169">
        <f>A23+1</f>
        <v>38</v>
      </c>
      <c r="B25" s="138"/>
      <c r="C25" s="934"/>
      <c r="D25" s="936"/>
      <c r="E25" s="938"/>
      <c r="F25" s="940"/>
      <c r="G25" s="940"/>
      <c r="H25" s="942"/>
      <c r="I25" s="924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1"/>
      <c r="Z25" s="817"/>
      <c r="AA25" s="926"/>
      <c r="AB25" s="928"/>
      <c r="AC25" s="930"/>
      <c r="AD25" s="931"/>
      <c r="AE25" s="919"/>
      <c r="AF25" s="919"/>
      <c r="AG25" s="920"/>
      <c r="AH25" s="920"/>
      <c r="AI25" s="921"/>
      <c r="AJ25" s="922"/>
      <c r="AK25" s="903"/>
      <c r="AL25" s="905"/>
      <c r="AM25" s="907"/>
      <c r="AN25" s="909"/>
      <c r="AO25" s="172"/>
      <c r="AP25" s="173"/>
    </row>
    <row r="26" spans="1:52" ht="45" customHeight="1">
      <c r="B26" s="138"/>
      <c r="C26" s="935"/>
      <c r="D26" s="937"/>
      <c r="E26" s="939"/>
      <c r="F26" s="941"/>
      <c r="G26" s="941"/>
      <c r="H26" s="943"/>
      <c r="I26" s="925"/>
      <c r="J26" s="174"/>
      <c r="K26" s="174"/>
      <c r="L26" s="174"/>
      <c r="M26" s="174"/>
      <c r="N26" s="174"/>
      <c r="O26" s="181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818"/>
      <c r="AA26" s="927"/>
      <c r="AB26" s="929"/>
      <c r="AC26" s="930"/>
      <c r="AD26" s="931"/>
      <c r="AE26" s="919"/>
      <c r="AF26" s="919"/>
      <c r="AG26" s="920"/>
      <c r="AH26" s="920"/>
      <c r="AI26" s="921"/>
      <c r="AJ26" s="923"/>
      <c r="AK26" s="904"/>
      <c r="AL26" s="906"/>
      <c r="AM26" s="908"/>
      <c r="AN26" s="910"/>
      <c r="AO26" s="172"/>
    </row>
    <row r="27" spans="1:52" ht="45" customHeight="1">
      <c r="A27" s="169">
        <f>A25+1</f>
        <v>39</v>
      </c>
      <c r="B27" s="138"/>
      <c r="C27" s="934"/>
      <c r="D27" s="936"/>
      <c r="E27" s="938"/>
      <c r="F27" s="940"/>
      <c r="G27" s="940"/>
      <c r="H27" s="942"/>
      <c r="I27" s="924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1"/>
      <c r="Z27" s="817"/>
      <c r="AA27" s="926"/>
      <c r="AB27" s="928"/>
      <c r="AC27" s="930"/>
      <c r="AD27" s="931"/>
      <c r="AE27" s="919"/>
      <c r="AF27" s="919"/>
      <c r="AG27" s="920"/>
      <c r="AH27" s="920"/>
      <c r="AI27" s="921"/>
      <c r="AJ27" s="922"/>
      <c r="AK27" s="903"/>
      <c r="AL27" s="905"/>
      <c r="AM27" s="907"/>
      <c r="AN27" s="909"/>
      <c r="AO27" s="172"/>
      <c r="AP27" s="173"/>
    </row>
    <row r="28" spans="1:52" ht="45" customHeight="1" thickBot="1">
      <c r="B28" s="138"/>
      <c r="C28" s="935"/>
      <c r="D28" s="937"/>
      <c r="E28" s="939"/>
      <c r="F28" s="941"/>
      <c r="G28" s="941"/>
      <c r="H28" s="943"/>
      <c r="I28" s="925"/>
      <c r="J28" s="174"/>
      <c r="K28" s="174"/>
      <c r="L28" s="174"/>
      <c r="M28" s="174"/>
      <c r="N28" s="174"/>
      <c r="O28" s="181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818"/>
      <c r="AA28" s="927"/>
      <c r="AB28" s="929"/>
      <c r="AC28" s="930"/>
      <c r="AD28" s="931"/>
      <c r="AE28" s="919"/>
      <c r="AF28" s="919"/>
      <c r="AG28" s="920"/>
      <c r="AH28" s="920"/>
      <c r="AI28" s="921"/>
      <c r="AJ28" s="923"/>
      <c r="AK28" s="904"/>
      <c r="AL28" s="906"/>
      <c r="AM28" s="908"/>
      <c r="AN28" s="910"/>
      <c r="AO28" s="172"/>
    </row>
    <row r="29" spans="1:52" ht="45" customHeight="1" thickTop="1">
      <c r="A29" s="169"/>
      <c r="B29" s="138"/>
      <c r="C29" s="911"/>
      <c r="D29" s="913" t="s">
        <v>174</v>
      </c>
      <c r="E29" s="915"/>
      <c r="F29" s="873"/>
      <c r="G29" s="873"/>
      <c r="H29" s="917"/>
      <c r="I29" s="889"/>
      <c r="J29" s="182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4"/>
      <c r="Z29" s="891"/>
      <c r="AA29" s="893"/>
      <c r="AB29" s="895"/>
      <c r="AC29" s="897" t="e">
        <f t="shared" ref="AC29:AK29" si="9">SUM(AC7:AC28)</f>
        <v>#REF!</v>
      </c>
      <c r="AD29" s="899">
        <f t="shared" si="9"/>
        <v>0</v>
      </c>
      <c r="AE29" s="881">
        <f t="shared" si="9"/>
        <v>0</v>
      </c>
      <c r="AF29" s="883" t="e">
        <f t="shared" si="9"/>
        <v>#REF!</v>
      </c>
      <c r="AG29" s="881" t="e">
        <f t="shared" si="9"/>
        <v>#REF!</v>
      </c>
      <c r="AH29" s="881" t="e">
        <f t="shared" si="9"/>
        <v>#REF!</v>
      </c>
      <c r="AI29" s="885" t="e">
        <f t="shared" si="9"/>
        <v>#REF!</v>
      </c>
      <c r="AJ29" s="887">
        <f t="shared" si="9"/>
        <v>2700000</v>
      </c>
      <c r="AK29" s="887" t="e">
        <f t="shared" si="9"/>
        <v>#REF!</v>
      </c>
      <c r="AL29" s="932" t="e">
        <f>AL7+AL9+AL11+AL13+AL15+AL17+AL19+AL21+AL23+AL25+AL27</f>
        <v>#REF!</v>
      </c>
      <c r="AM29" s="873"/>
      <c r="AN29" s="875"/>
      <c r="AO29" s="172"/>
    </row>
    <row r="30" spans="1:52" ht="45" customHeight="1" thickBot="1">
      <c r="B30" s="138"/>
      <c r="C30" s="912"/>
      <c r="D30" s="914"/>
      <c r="E30" s="916"/>
      <c r="F30" s="874"/>
      <c r="G30" s="874"/>
      <c r="H30" s="918"/>
      <c r="I30" s="890"/>
      <c r="J30" s="185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7"/>
      <c r="Z30" s="892"/>
      <c r="AA30" s="894"/>
      <c r="AB30" s="896"/>
      <c r="AC30" s="898"/>
      <c r="AD30" s="900"/>
      <c r="AE30" s="882"/>
      <c r="AF30" s="884"/>
      <c r="AG30" s="882"/>
      <c r="AH30" s="882"/>
      <c r="AI30" s="886"/>
      <c r="AJ30" s="888"/>
      <c r="AK30" s="888"/>
      <c r="AL30" s="933">
        <f>AL8+AL10+AL12+AL14+AL16+AL18+AL20+AL22+AL24+AL26+AL28</f>
        <v>0</v>
      </c>
      <c r="AM30" s="874"/>
      <c r="AN30" s="876"/>
    </row>
    <row r="31" spans="1:52" ht="45.75" customHeight="1" thickTop="1">
      <c r="A31" s="169"/>
      <c r="C31" s="853"/>
      <c r="D31" s="877"/>
      <c r="E31" s="879"/>
      <c r="F31" s="825"/>
      <c r="G31" s="825"/>
      <c r="H31" s="812"/>
      <c r="I31" s="901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817"/>
      <c r="AA31" s="826"/>
      <c r="AB31" s="805"/>
      <c r="AO31" s="172"/>
    </row>
    <row r="32" spans="1:52" ht="45.75" customHeight="1">
      <c r="C32" s="853"/>
      <c r="D32" s="878"/>
      <c r="E32" s="880"/>
      <c r="F32" s="827"/>
      <c r="G32" s="827"/>
      <c r="H32" s="821"/>
      <c r="I32" s="902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818"/>
      <c r="AA32" s="828"/>
      <c r="AB32" s="806"/>
    </row>
    <row r="33" spans="1:46" ht="45.75" customHeight="1">
      <c r="C33" s="861"/>
      <c r="D33" s="863"/>
      <c r="E33" s="865"/>
      <c r="F33" s="799"/>
      <c r="G33" s="799"/>
      <c r="H33" s="797"/>
      <c r="I33" s="87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803"/>
      <c r="AA33" s="789"/>
      <c r="AB33" s="791"/>
      <c r="AT33" s="192">
        <f>5580*10</f>
        <v>55800</v>
      </c>
    </row>
    <row r="34" spans="1:46" ht="45.75" customHeight="1">
      <c r="C34" s="862"/>
      <c r="D34" s="864"/>
      <c r="E34" s="866"/>
      <c r="F34" s="850"/>
      <c r="G34" s="850"/>
      <c r="H34" s="848"/>
      <c r="I34" s="872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869"/>
      <c r="AA34" s="870"/>
      <c r="AB34" s="852"/>
      <c r="AT34" s="192">
        <f>5580*2*0.5</f>
        <v>5580</v>
      </c>
    </row>
    <row r="35" spans="1:46" ht="45.75" customHeight="1">
      <c r="A35" s="169"/>
      <c r="C35" s="861"/>
      <c r="D35" s="863"/>
      <c r="E35" s="865"/>
      <c r="F35" s="799"/>
      <c r="G35" s="799"/>
      <c r="H35" s="797"/>
      <c r="I35" s="87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803"/>
      <c r="AA35" s="789"/>
      <c r="AB35" s="791"/>
      <c r="AO35" s="172"/>
      <c r="AT35" s="192">
        <f>5580*2*0.5</f>
        <v>5580</v>
      </c>
    </row>
    <row r="36" spans="1:46" ht="45.75" customHeight="1">
      <c r="C36" s="862"/>
      <c r="D36" s="864"/>
      <c r="E36" s="866"/>
      <c r="F36" s="850"/>
      <c r="G36" s="850"/>
      <c r="H36" s="848"/>
      <c r="I36" s="872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869"/>
      <c r="AA36" s="870"/>
      <c r="AB36" s="852"/>
      <c r="AT36" s="194">
        <f>SUM(AT33:AT35)</f>
        <v>66960</v>
      </c>
    </row>
    <row r="37" spans="1:46" ht="45.75" customHeight="1">
      <c r="A37" s="169"/>
      <c r="C37" s="861"/>
      <c r="D37" s="863"/>
      <c r="E37" s="865"/>
      <c r="F37" s="799"/>
      <c r="G37" s="799"/>
      <c r="H37" s="797"/>
      <c r="I37" s="871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803"/>
      <c r="AA37" s="789"/>
      <c r="AB37" s="791"/>
      <c r="AO37" s="172"/>
      <c r="AP37" s="196">
        <f>AO37*65000</f>
        <v>0</v>
      </c>
    </row>
    <row r="38" spans="1:46" ht="45.75" customHeight="1">
      <c r="C38" s="862"/>
      <c r="D38" s="864"/>
      <c r="E38" s="866"/>
      <c r="F38" s="850"/>
      <c r="G38" s="850"/>
      <c r="H38" s="848"/>
      <c r="I38" s="872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869"/>
      <c r="AA38" s="870"/>
      <c r="AB38" s="852"/>
    </row>
    <row r="39" spans="1:46" ht="45.75" customHeight="1">
      <c r="A39" s="169"/>
      <c r="C39" s="861"/>
      <c r="D39" s="863"/>
      <c r="E39" s="865"/>
      <c r="F39" s="799"/>
      <c r="G39" s="799"/>
      <c r="H39" s="797"/>
      <c r="I39" s="867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803"/>
      <c r="AA39" s="789"/>
      <c r="AB39" s="791"/>
      <c r="AO39" s="172"/>
    </row>
    <row r="40" spans="1:46" ht="45.75" customHeight="1">
      <c r="C40" s="862"/>
      <c r="D40" s="864"/>
      <c r="E40" s="866"/>
      <c r="F40" s="850"/>
      <c r="G40" s="850"/>
      <c r="H40" s="848"/>
      <c r="I40" s="868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869"/>
      <c r="AA40" s="870"/>
      <c r="AB40" s="852"/>
    </row>
    <row r="41" spans="1:46" ht="45.75" customHeight="1">
      <c r="A41" s="169"/>
      <c r="C41" s="861"/>
      <c r="D41" s="863"/>
      <c r="E41" s="865"/>
      <c r="F41" s="799"/>
      <c r="G41" s="799"/>
      <c r="H41" s="797"/>
      <c r="I41" s="867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803"/>
      <c r="AA41" s="789"/>
      <c r="AB41" s="791"/>
      <c r="AO41" s="172"/>
    </row>
    <row r="42" spans="1:46" ht="45.75" customHeight="1">
      <c r="C42" s="862"/>
      <c r="D42" s="864"/>
      <c r="E42" s="866"/>
      <c r="F42" s="850"/>
      <c r="G42" s="850"/>
      <c r="H42" s="848"/>
      <c r="I42" s="868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869"/>
      <c r="AA42" s="870"/>
      <c r="AB42" s="852"/>
    </row>
    <row r="43" spans="1:46" ht="45.75" customHeight="1">
      <c r="A43" s="169"/>
      <c r="C43" s="853"/>
      <c r="D43" s="855"/>
      <c r="E43" s="857"/>
      <c r="F43" s="809"/>
      <c r="G43" s="809"/>
      <c r="H43" s="808"/>
      <c r="I43" s="859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8"/>
      <c r="Z43" s="811"/>
      <c r="AA43" s="793"/>
      <c r="AB43" s="794"/>
      <c r="AO43" s="172"/>
    </row>
    <row r="44" spans="1:46" ht="45.75" customHeight="1" thickBot="1">
      <c r="C44" s="854"/>
      <c r="D44" s="856"/>
      <c r="E44" s="858"/>
      <c r="F44" s="800"/>
      <c r="G44" s="800"/>
      <c r="H44" s="798"/>
      <c r="I44" s="860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804"/>
      <c r="AA44" s="790"/>
      <c r="AB44" s="792"/>
    </row>
    <row r="45" spans="1:46" ht="45.75" customHeight="1" thickTop="1">
      <c r="A45" s="169"/>
      <c r="C45" s="820"/>
      <c r="D45" s="848"/>
      <c r="E45" s="850"/>
      <c r="F45" s="850"/>
      <c r="G45" s="850"/>
      <c r="H45" s="808"/>
      <c r="I45" s="810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811"/>
      <c r="AA45" s="200"/>
      <c r="AB45" s="201"/>
      <c r="AO45" s="172"/>
    </row>
    <row r="46" spans="1:46" ht="45.75" customHeight="1">
      <c r="C46" s="847"/>
      <c r="D46" s="849"/>
      <c r="E46" s="851"/>
      <c r="F46" s="851"/>
      <c r="G46" s="851"/>
      <c r="H46" s="821"/>
      <c r="I46" s="816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818"/>
      <c r="AA46" s="203"/>
      <c r="AB46" s="204"/>
    </row>
    <row r="47" spans="1:46" ht="45.75" customHeight="1">
      <c r="A47" s="169"/>
      <c r="C47" s="833"/>
      <c r="D47" s="835"/>
      <c r="E47" s="837"/>
      <c r="F47" s="839"/>
      <c r="G47" s="839"/>
      <c r="H47" s="841"/>
      <c r="I47" s="843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845"/>
      <c r="AA47" s="829"/>
      <c r="AB47" s="831"/>
      <c r="AO47" s="172"/>
    </row>
    <row r="48" spans="1:46" ht="45.75" customHeight="1">
      <c r="C48" s="834"/>
      <c r="D48" s="836"/>
      <c r="E48" s="838"/>
      <c r="F48" s="840"/>
      <c r="G48" s="840"/>
      <c r="H48" s="842"/>
      <c r="I48" s="844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846"/>
      <c r="AA48" s="830"/>
      <c r="AB48" s="832"/>
    </row>
    <row r="49" spans="1:41" ht="45.75" customHeight="1">
      <c r="A49" s="169"/>
      <c r="C49" s="833"/>
      <c r="D49" s="835"/>
      <c r="E49" s="837"/>
      <c r="F49" s="839"/>
      <c r="G49" s="839"/>
      <c r="H49" s="841"/>
      <c r="I49" s="843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845"/>
      <c r="AA49" s="829"/>
      <c r="AB49" s="831"/>
      <c r="AO49" s="172"/>
    </row>
    <row r="50" spans="1:41" ht="45.75" customHeight="1">
      <c r="C50" s="834"/>
      <c r="D50" s="836"/>
      <c r="E50" s="838"/>
      <c r="F50" s="840"/>
      <c r="G50" s="840"/>
      <c r="H50" s="842"/>
      <c r="I50" s="844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846"/>
      <c r="AA50" s="830"/>
      <c r="AB50" s="832"/>
    </row>
    <row r="51" spans="1:41" ht="45.75" customHeight="1">
      <c r="A51" s="169"/>
      <c r="C51" s="795"/>
      <c r="D51" s="812"/>
      <c r="E51" s="825"/>
      <c r="F51" s="825"/>
      <c r="G51" s="825"/>
      <c r="H51" s="812"/>
      <c r="I51" s="815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7"/>
      <c r="Y51" s="207"/>
      <c r="Z51" s="817"/>
      <c r="AA51" s="826"/>
      <c r="AB51" s="805"/>
      <c r="AO51" s="172"/>
    </row>
    <row r="52" spans="1:41" ht="45.75" customHeight="1">
      <c r="C52" s="820"/>
      <c r="D52" s="821"/>
      <c r="E52" s="827"/>
      <c r="F52" s="827"/>
      <c r="G52" s="827"/>
      <c r="H52" s="821"/>
      <c r="I52" s="816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818"/>
      <c r="AA52" s="828"/>
      <c r="AB52" s="806"/>
    </row>
    <row r="53" spans="1:41" ht="45.75" customHeight="1">
      <c r="A53" s="169"/>
      <c r="C53" s="807"/>
      <c r="D53" s="812"/>
      <c r="E53" s="825"/>
      <c r="F53" s="825"/>
      <c r="G53" s="825"/>
      <c r="H53" s="812"/>
      <c r="I53" s="815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817"/>
      <c r="AA53" s="826"/>
      <c r="AB53" s="805"/>
      <c r="AO53" s="172"/>
    </row>
    <row r="54" spans="1:41" ht="45.75" customHeight="1">
      <c r="C54" s="807"/>
      <c r="D54" s="821"/>
      <c r="E54" s="827"/>
      <c r="F54" s="827"/>
      <c r="G54" s="827"/>
      <c r="H54" s="821"/>
      <c r="I54" s="816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818"/>
      <c r="AA54" s="828"/>
      <c r="AB54" s="806"/>
    </row>
    <row r="55" spans="1:41" ht="45.75" customHeight="1">
      <c r="A55" s="169"/>
      <c r="C55" s="795"/>
      <c r="D55" s="812"/>
      <c r="E55" s="825"/>
      <c r="F55" s="825"/>
      <c r="G55" s="825"/>
      <c r="H55" s="812"/>
      <c r="I55" s="815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817"/>
      <c r="AA55" s="826"/>
      <c r="AB55" s="805"/>
      <c r="AO55" s="172"/>
    </row>
    <row r="56" spans="1:41" ht="45.75" customHeight="1">
      <c r="C56" s="820"/>
      <c r="D56" s="821"/>
      <c r="E56" s="827"/>
      <c r="F56" s="827"/>
      <c r="G56" s="827"/>
      <c r="H56" s="821"/>
      <c r="I56" s="816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818"/>
      <c r="AA56" s="828"/>
      <c r="AB56" s="806"/>
    </row>
    <row r="57" spans="1:41" ht="45.75" customHeight="1">
      <c r="A57" s="169"/>
      <c r="C57" s="807"/>
      <c r="D57" s="812"/>
      <c r="E57" s="825"/>
      <c r="F57" s="825"/>
      <c r="G57" s="825"/>
      <c r="H57" s="812"/>
      <c r="I57" s="815"/>
      <c r="J57" s="208"/>
      <c r="K57" s="208"/>
      <c r="L57" s="208"/>
      <c r="M57" s="208"/>
      <c r="N57" s="208"/>
      <c r="O57" s="208"/>
      <c r="P57" s="208"/>
      <c r="Q57" s="208"/>
      <c r="R57" s="207"/>
      <c r="S57" s="207"/>
      <c r="T57" s="207"/>
      <c r="U57" s="207"/>
      <c r="V57" s="207"/>
      <c r="W57" s="207"/>
      <c r="X57" s="207"/>
      <c r="Y57" s="207"/>
      <c r="Z57" s="817"/>
      <c r="AA57" s="826"/>
      <c r="AB57" s="805"/>
      <c r="AO57" s="172"/>
    </row>
    <row r="58" spans="1:41" ht="45.75" customHeight="1">
      <c r="C58" s="807"/>
      <c r="D58" s="821"/>
      <c r="E58" s="827"/>
      <c r="F58" s="827"/>
      <c r="G58" s="827"/>
      <c r="H58" s="821"/>
      <c r="I58" s="816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818"/>
      <c r="AA58" s="828"/>
      <c r="AB58" s="806"/>
    </row>
    <row r="59" spans="1:41" ht="45.75" customHeight="1">
      <c r="A59" s="169"/>
      <c r="C59" s="795"/>
      <c r="D59" s="812"/>
      <c r="E59" s="825"/>
      <c r="F59" s="825"/>
      <c r="G59" s="825"/>
      <c r="H59" s="812"/>
      <c r="I59" s="815"/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7"/>
      <c r="Y59" s="207"/>
      <c r="Z59" s="817"/>
      <c r="AA59" s="826"/>
      <c r="AB59" s="805"/>
      <c r="AO59" s="172"/>
    </row>
    <row r="60" spans="1:41" ht="45.75" customHeight="1">
      <c r="C60" s="820"/>
      <c r="D60" s="821"/>
      <c r="E60" s="809"/>
      <c r="F60" s="809"/>
      <c r="G60" s="809"/>
      <c r="H60" s="808"/>
      <c r="I60" s="816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2"/>
      <c r="V60" s="202"/>
      <c r="W60" s="202"/>
      <c r="X60" s="202"/>
      <c r="Y60" s="202"/>
      <c r="Z60" s="818"/>
      <c r="AA60" s="793"/>
      <c r="AB60" s="806"/>
    </row>
    <row r="61" spans="1:41" ht="45.75" customHeight="1">
      <c r="A61" s="169"/>
      <c r="C61" s="795"/>
      <c r="D61" s="812"/>
      <c r="E61" s="813"/>
      <c r="F61" s="813"/>
      <c r="G61" s="813"/>
      <c r="H61" s="814"/>
      <c r="I61" s="815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  <c r="X61" s="207"/>
      <c r="Y61" s="207"/>
      <c r="Z61" s="817"/>
      <c r="AA61" s="819"/>
      <c r="AB61" s="805"/>
      <c r="AO61" s="172"/>
    </row>
    <row r="62" spans="1:41" ht="45.75" customHeight="1">
      <c r="C62" s="820"/>
      <c r="D62" s="821"/>
      <c r="E62" s="822"/>
      <c r="F62" s="822"/>
      <c r="G62" s="822"/>
      <c r="H62" s="823"/>
      <c r="I62" s="816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818"/>
      <c r="AA62" s="824"/>
      <c r="AB62" s="806"/>
    </row>
    <row r="63" spans="1:41" ht="45.75" customHeight="1">
      <c r="A63" s="169"/>
      <c r="C63" s="807"/>
      <c r="D63" s="812"/>
      <c r="E63" s="813"/>
      <c r="F63" s="813"/>
      <c r="G63" s="813"/>
      <c r="H63" s="814"/>
      <c r="I63" s="815"/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207"/>
      <c r="Y63" s="207"/>
      <c r="Z63" s="817"/>
      <c r="AA63" s="819"/>
      <c r="AB63" s="805"/>
      <c r="AO63" s="172"/>
    </row>
    <row r="64" spans="1:41" ht="45.75" customHeight="1">
      <c r="C64" s="807"/>
      <c r="D64" s="808"/>
      <c r="E64" s="809"/>
      <c r="F64" s="809"/>
      <c r="G64" s="809"/>
      <c r="H64" s="808"/>
      <c r="I64" s="816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202"/>
      <c r="U64" s="202"/>
      <c r="V64" s="202"/>
      <c r="W64" s="202"/>
      <c r="X64" s="202"/>
      <c r="Y64" s="202"/>
      <c r="Z64" s="818"/>
      <c r="AA64" s="793"/>
      <c r="AB64" s="806"/>
    </row>
    <row r="65" spans="1:41" ht="45.75" customHeight="1">
      <c r="A65" s="169"/>
      <c r="C65" s="795"/>
      <c r="D65" s="797"/>
      <c r="E65" s="799"/>
      <c r="F65" s="799"/>
      <c r="G65" s="799"/>
      <c r="H65" s="797"/>
      <c r="I65" s="801"/>
      <c r="J65" s="191"/>
      <c r="K65" s="191"/>
      <c r="L65" s="191"/>
      <c r="M65" s="191"/>
      <c r="N65" s="191"/>
      <c r="O65" s="191"/>
      <c r="P65" s="191"/>
      <c r="Q65" s="191"/>
      <c r="R65" s="191"/>
      <c r="S65" s="191"/>
      <c r="T65" s="191"/>
      <c r="U65" s="191"/>
      <c r="V65" s="191"/>
      <c r="W65" s="191"/>
      <c r="X65" s="191"/>
      <c r="Y65" s="191"/>
      <c r="Z65" s="803"/>
      <c r="AA65" s="789"/>
      <c r="AB65" s="791"/>
      <c r="AO65" s="172"/>
    </row>
    <row r="66" spans="1:41" ht="45.75" customHeight="1">
      <c r="C66" s="807"/>
      <c r="D66" s="808"/>
      <c r="E66" s="809"/>
      <c r="F66" s="809"/>
      <c r="G66" s="809"/>
      <c r="H66" s="808"/>
      <c r="I66" s="810"/>
      <c r="J66" s="209"/>
      <c r="K66" s="209"/>
      <c r="L66" s="209"/>
      <c r="M66" s="209"/>
      <c r="N66" s="209"/>
      <c r="O66" s="209"/>
      <c r="P66" s="209"/>
      <c r="Q66" s="209"/>
      <c r="R66" s="209"/>
      <c r="S66" s="209"/>
      <c r="T66" s="209"/>
      <c r="U66" s="209"/>
      <c r="V66" s="209"/>
      <c r="W66" s="209"/>
      <c r="X66" s="209"/>
      <c r="Y66" s="209"/>
      <c r="Z66" s="811"/>
      <c r="AA66" s="793"/>
      <c r="AB66" s="794"/>
    </row>
    <row r="67" spans="1:41" ht="45.75" customHeight="1">
      <c r="A67" s="169"/>
      <c r="C67" s="795"/>
      <c r="D67" s="797"/>
      <c r="E67" s="799"/>
      <c r="F67" s="799"/>
      <c r="G67" s="799"/>
      <c r="H67" s="797"/>
      <c r="I67" s="801"/>
      <c r="J67" s="191"/>
      <c r="K67" s="191"/>
      <c r="L67" s="191"/>
      <c r="M67" s="191"/>
      <c r="N67" s="191"/>
      <c r="O67" s="191"/>
      <c r="P67" s="191"/>
      <c r="Q67" s="191"/>
      <c r="R67" s="191"/>
      <c r="S67" s="191"/>
      <c r="T67" s="191"/>
      <c r="U67" s="191"/>
      <c r="V67" s="191"/>
      <c r="W67" s="191"/>
      <c r="X67" s="191"/>
      <c r="Y67" s="191"/>
      <c r="Z67" s="803"/>
      <c r="AA67" s="789"/>
      <c r="AB67" s="791"/>
      <c r="AO67" s="172"/>
    </row>
    <row r="68" spans="1:41" ht="45.75" customHeight="1" thickBot="1">
      <c r="C68" s="796"/>
      <c r="D68" s="798"/>
      <c r="E68" s="800"/>
      <c r="F68" s="800"/>
      <c r="G68" s="800"/>
      <c r="H68" s="798"/>
      <c r="I68" s="802"/>
      <c r="J68" s="199"/>
      <c r="K68" s="199"/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199"/>
      <c r="W68" s="199"/>
      <c r="X68" s="199"/>
      <c r="Y68" s="199"/>
      <c r="Z68" s="804"/>
      <c r="AA68" s="790"/>
      <c r="AB68" s="792"/>
    </row>
    <row r="69" spans="1:41" ht="17.25" thickTop="1"/>
  </sheetData>
  <sheetProtection selectLockedCells="1"/>
  <mergeCells count="481">
    <mergeCell ref="AS7:AS8"/>
    <mergeCell ref="AS9:AS10"/>
    <mergeCell ref="AS11:AS12"/>
    <mergeCell ref="AP7:AP8"/>
    <mergeCell ref="AP9:AP10"/>
    <mergeCell ref="AP11:AP12"/>
    <mergeCell ref="AQ7:AQ8"/>
    <mergeCell ref="AR7:AR8"/>
    <mergeCell ref="AQ9:AQ10"/>
    <mergeCell ref="AR9:AR10"/>
    <mergeCell ref="AQ11:AQ12"/>
    <mergeCell ref="AR11:AR12"/>
    <mergeCell ref="C2:E2"/>
    <mergeCell ref="F2:AA2"/>
    <mergeCell ref="AC2:AE2"/>
    <mergeCell ref="C4:C6"/>
    <mergeCell ref="E4:E6"/>
    <mergeCell ref="F4:F6"/>
    <mergeCell ref="G4:G6"/>
    <mergeCell ref="H4:H6"/>
    <mergeCell ref="I4:I6"/>
    <mergeCell ref="J4:AA4"/>
    <mergeCell ref="AB4:AB6"/>
    <mergeCell ref="AC4:AL4"/>
    <mergeCell ref="AN4:AN6"/>
    <mergeCell ref="Z5:AA6"/>
    <mergeCell ref="AC5:AC6"/>
    <mergeCell ref="AD5:AK5"/>
    <mergeCell ref="AL5:AL6"/>
    <mergeCell ref="AK7:AK8"/>
    <mergeCell ref="AL7:AL8"/>
    <mergeCell ref="AM7:AM8"/>
    <mergeCell ref="AN7:AN8"/>
    <mergeCell ref="AH7:AH8"/>
    <mergeCell ref="AI7:AI8"/>
    <mergeCell ref="AJ7:AJ8"/>
    <mergeCell ref="C9:C10"/>
    <mergeCell ref="D9:D10"/>
    <mergeCell ref="E9:E10"/>
    <mergeCell ref="F9:F10"/>
    <mergeCell ref="G9:G10"/>
    <mergeCell ref="H9:H10"/>
    <mergeCell ref="AE7:AE8"/>
    <mergeCell ref="AF7:AF8"/>
    <mergeCell ref="AG7:AG8"/>
    <mergeCell ref="I7:I8"/>
    <mergeCell ref="Z7:Z8"/>
    <mergeCell ref="AA7:AA8"/>
    <mergeCell ref="AB7:AB8"/>
    <mergeCell ref="AC7:AC8"/>
    <mergeCell ref="AD7:AD8"/>
    <mergeCell ref="C7:C8"/>
    <mergeCell ref="D7:D8"/>
    <mergeCell ref="E7:E8"/>
    <mergeCell ref="F7:F8"/>
    <mergeCell ref="G7:G8"/>
    <mergeCell ref="H7:H8"/>
    <mergeCell ref="AK9:AK10"/>
    <mergeCell ref="AL9:AL10"/>
    <mergeCell ref="AM9:AM10"/>
    <mergeCell ref="AN9:AN10"/>
    <mergeCell ref="C11:C12"/>
    <mergeCell ref="D11:D12"/>
    <mergeCell ref="E11:E12"/>
    <mergeCell ref="F11:F12"/>
    <mergeCell ref="G11:G12"/>
    <mergeCell ref="H11:H12"/>
    <mergeCell ref="AE9:AE10"/>
    <mergeCell ref="AF9:AF10"/>
    <mergeCell ref="AG9:AG10"/>
    <mergeCell ref="AH9:AH10"/>
    <mergeCell ref="AI9:AI10"/>
    <mergeCell ref="AJ9:AJ10"/>
    <mergeCell ref="I9:I10"/>
    <mergeCell ref="Z9:Z10"/>
    <mergeCell ref="AA9:AA10"/>
    <mergeCell ref="AB9:AB10"/>
    <mergeCell ref="AC9:AC10"/>
    <mergeCell ref="AD9:AD10"/>
    <mergeCell ref="AK11:AK12"/>
    <mergeCell ref="AL11:AL12"/>
    <mergeCell ref="AM11:AM12"/>
    <mergeCell ref="AN11:AN12"/>
    <mergeCell ref="C13:C14"/>
    <mergeCell ref="D13:D14"/>
    <mergeCell ref="E13:E14"/>
    <mergeCell ref="F13:F14"/>
    <mergeCell ref="G13:G14"/>
    <mergeCell ref="H13:H14"/>
    <mergeCell ref="AE11:AE12"/>
    <mergeCell ref="AF11:AF12"/>
    <mergeCell ref="AG11:AG12"/>
    <mergeCell ref="AH11:AH12"/>
    <mergeCell ref="AI11:AI12"/>
    <mergeCell ref="AJ11:AJ12"/>
    <mergeCell ref="I11:I12"/>
    <mergeCell ref="Z11:Z12"/>
    <mergeCell ref="AA11:AA12"/>
    <mergeCell ref="AB11:AB12"/>
    <mergeCell ref="AC11:AC12"/>
    <mergeCell ref="AD11:AD12"/>
    <mergeCell ref="AK13:AK14"/>
    <mergeCell ref="AL13:AL14"/>
    <mergeCell ref="AM13:AM14"/>
    <mergeCell ref="AN13:AN14"/>
    <mergeCell ref="C15:C16"/>
    <mergeCell ref="D15:D16"/>
    <mergeCell ref="E15:E16"/>
    <mergeCell ref="F15:F16"/>
    <mergeCell ref="G15:G16"/>
    <mergeCell ref="H15:H16"/>
    <mergeCell ref="AE13:AE14"/>
    <mergeCell ref="AF13:AF14"/>
    <mergeCell ref="AG13:AG14"/>
    <mergeCell ref="AH13:AH14"/>
    <mergeCell ref="AI13:AI14"/>
    <mergeCell ref="AJ13:AJ14"/>
    <mergeCell ref="I13:I14"/>
    <mergeCell ref="Z13:Z14"/>
    <mergeCell ref="AA13:AA14"/>
    <mergeCell ref="AB13:AB14"/>
    <mergeCell ref="AC13:AC14"/>
    <mergeCell ref="AD13:AD14"/>
    <mergeCell ref="AK15:AK16"/>
    <mergeCell ref="AL15:AL16"/>
    <mergeCell ref="AM15:AM16"/>
    <mergeCell ref="AN15:AN16"/>
    <mergeCell ref="C17:C18"/>
    <mergeCell ref="D17:D18"/>
    <mergeCell ref="E17:E18"/>
    <mergeCell ref="F17:F18"/>
    <mergeCell ref="G17:G18"/>
    <mergeCell ref="H17:H18"/>
    <mergeCell ref="AE15:AE16"/>
    <mergeCell ref="AF15:AF16"/>
    <mergeCell ref="AG15:AG16"/>
    <mergeCell ref="AH15:AH16"/>
    <mergeCell ref="AI15:AI16"/>
    <mergeCell ref="AJ15:AJ16"/>
    <mergeCell ref="I15:I16"/>
    <mergeCell ref="Z15:Z16"/>
    <mergeCell ref="AA15:AA16"/>
    <mergeCell ref="AB15:AB16"/>
    <mergeCell ref="AC15:AC16"/>
    <mergeCell ref="AD15:AD16"/>
    <mergeCell ref="AK17:AK18"/>
    <mergeCell ref="AL17:AL18"/>
    <mergeCell ref="AM17:AM18"/>
    <mergeCell ref="AN17:AN18"/>
    <mergeCell ref="C19:C20"/>
    <mergeCell ref="D19:D20"/>
    <mergeCell ref="E19:E20"/>
    <mergeCell ref="F19:F20"/>
    <mergeCell ref="G19:G20"/>
    <mergeCell ref="H19:H20"/>
    <mergeCell ref="AE17:AE18"/>
    <mergeCell ref="AF17:AF18"/>
    <mergeCell ref="AG17:AG18"/>
    <mergeCell ref="AH17:AH18"/>
    <mergeCell ref="AI17:AI18"/>
    <mergeCell ref="AJ17:AJ18"/>
    <mergeCell ref="I17:I18"/>
    <mergeCell ref="Z17:Z18"/>
    <mergeCell ref="AA17:AA18"/>
    <mergeCell ref="AB17:AB18"/>
    <mergeCell ref="AC17:AC18"/>
    <mergeCell ref="AD17:AD18"/>
    <mergeCell ref="AK19:AK20"/>
    <mergeCell ref="AL19:AL20"/>
    <mergeCell ref="AM19:AM20"/>
    <mergeCell ref="AN19:AN20"/>
    <mergeCell ref="C21:C22"/>
    <mergeCell ref="D21:D22"/>
    <mergeCell ref="E21:E22"/>
    <mergeCell ref="F21:F22"/>
    <mergeCell ref="G21:G22"/>
    <mergeCell ref="H21:H22"/>
    <mergeCell ref="AE19:AE20"/>
    <mergeCell ref="AF19:AF20"/>
    <mergeCell ref="AG19:AG20"/>
    <mergeCell ref="AH19:AH20"/>
    <mergeCell ref="AI19:AI20"/>
    <mergeCell ref="AJ19:AJ20"/>
    <mergeCell ref="I19:I20"/>
    <mergeCell ref="Z19:Z20"/>
    <mergeCell ref="AA19:AA20"/>
    <mergeCell ref="AB19:AB20"/>
    <mergeCell ref="AC19:AC20"/>
    <mergeCell ref="AD19:AD20"/>
    <mergeCell ref="AK21:AK22"/>
    <mergeCell ref="AL21:AL22"/>
    <mergeCell ref="AM21:AM22"/>
    <mergeCell ref="AN21:AN22"/>
    <mergeCell ref="C23:C24"/>
    <mergeCell ref="D23:D24"/>
    <mergeCell ref="E23:E24"/>
    <mergeCell ref="F23:F24"/>
    <mergeCell ref="G23:G24"/>
    <mergeCell ref="H23:H24"/>
    <mergeCell ref="AE21:AE22"/>
    <mergeCell ref="AF21:AF22"/>
    <mergeCell ref="AG21:AG22"/>
    <mergeCell ref="AH21:AH22"/>
    <mergeCell ref="AI21:AI22"/>
    <mergeCell ref="AJ21:AJ22"/>
    <mergeCell ref="I21:I22"/>
    <mergeCell ref="Z21:Z22"/>
    <mergeCell ref="AA21:AA22"/>
    <mergeCell ref="AB21:AB22"/>
    <mergeCell ref="AC21:AC22"/>
    <mergeCell ref="AD21:AD22"/>
    <mergeCell ref="AK23:AK24"/>
    <mergeCell ref="AL23:AL24"/>
    <mergeCell ref="AM23:AM24"/>
    <mergeCell ref="AN23:AN24"/>
    <mergeCell ref="C25:C26"/>
    <mergeCell ref="D25:D26"/>
    <mergeCell ref="E25:E26"/>
    <mergeCell ref="F25:F26"/>
    <mergeCell ref="G25:G26"/>
    <mergeCell ref="H25:H26"/>
    <mergeCell ref="AE23:AE24"/>
    <mergeCell ref="AF23:AF24"/>
    <mergeCell ref="AG23:AG24"/>
    <mergeCell ref="AH23:AH24"/>
    <mergeCell ref="AI23:AI24"/>
    <mergeCell ref="AJ23:AJ24"/>
    <mergeCell ref="I23:I24"/>
    <mergeCell ref="Z23:Z24"/>
    <mergeCell ref="AA23:AA24"/>
    <mergeCell ref="AB23:AB24"/>
    <mergeCell ref="AC23:AC24"/>
    <mergeCell ref="AD23:AD24"/>
    <mergeCell ref="AK25:AK26"/>
    <mergeCell ref="AL25:AL26"/>
    <mergeCell ref="AM25:AM26"/>
    <mergeCell ref="AN25:AN26"/>
    <mergeCell ref="C27:C28"/>
    <mergeCell ref="D27:D28"/>
    <mergeCell ref="E27:E28"/>
    <mergeCell ref="F27:F28"/>
    <mergeCell ref="G27:G28"/>
    <mergeCell ref="H27:H28"/>
    <mergeCell ref="AE25:AE26"/>
    <mergeCell ref="AF25:AF26"/>
    <mergeCell ref="AG25:AG26"/>
    <mergeCell ref="AH25:AH26"/>
    <mergeCell ref="AI25:AI26"/>
    <mergeCell ref="AJ25:AJ26"/>
    <mergeCell ref="I25:I26"/>
    <mergeCell ref="Z25:Z26"/>
    <mergeCell ref="AA25:AA26"/>
    <mergeCell ref="AB25:AB26"/>
    <mergeCell ref="AC25:AC26"/>
    <mergeCell ref="AD25:AD26"/>
    <mergeCell ref="AK27:AK28"/>
    <mergeCell ref="AL27:AL28"/>
    <mergeCell ref="AM27:AM28"/>
    <mergeCell ref="AN27:AN28"/>
    <mergeCell ref="C29:C30"/>
    <mergeCell ref="D29:D30"/>
    <mergeCell ref="E29:E30"/>
    <mergeCell ref="F29:F30"/>
    <mergeCell ref="G29:G30"/>
    <mergeCell ref="H29:H30"/>
    <mergeCell ref="AE27:AE28"/>
    <mergeCell ref="AF27:AF28"/>
    <mergeCell ref="AG27:AG28"/>
    <mergeCell ref="AH27:AH28"/>
    <mergeCell ref="AI27:AI28"/>
    <mergeCell ref="AJ27:AJ28"/>
    <mergeCell ref="I27:I28"/>
    <mergeCell ref="Z27:Z28"/>
    <mergeCell ref="AA27:AA28"/>
    <mergeCell ref="AB27:AB28"/>
    <mergeCell ref="AC27:AC28"/>
    <mergeCell ref="AD27:AD28"/>
    <mergeCell ref="AK29:AK30"/>
    <mergeCell ref="AL29:AL30"/>
    <mergeCell ref="AM29:AM30"/>
    <mergeCell ref="AN29:AN30"/>
    <mergeCell ref="C31:C32"/>
    <mergeCell ref="D31:D32"/>
    <mergeCell ref="E31:E32"/>
    <mergeCell ref="F31:F32"/>
    <mergeCell ref="G31:G32"/>
    <mergeCell ref="H31:H32"/>
    <mergeCell ref="AE29:AE30"/>
    <mergeCell ref="AF29:AF30"/>
    <mergeCell ref="AG29:AG30"/>
    <mergeCell ref="AH29:AH30"/>
    <mergeCell ref="AI29:AI30"/>
    <mergeCell ref="AJ29:AJ30"/>
    <mergeCell ref="I29:I30"/>
    <mergeCell ref="Z29:Z30"/>
    <mergeCell ref="AA29:AA30"/>
    <mergeCell ref="AB29:AB30"/>
    <mergeCell ref="AC29:AC30"/>
    <mergeCell ref="AD29:AD30"/>
    <mergeCell ref="I31:I32"/>
    <mergeCell ref="Z31:Z32"/>
    <mergeCell ref="AA31:AA32"/>
    <mergeCell ref="AB31:AB32"/>
    <mergeCell ref="AB33:AB34"/>
    <mergeCell ref="C35:C36"/>
    <mergeCell ref="D35:D36"/>
    <mergeCell ref="E35:E36"/>
    <mergeCell ref="F35:F36"/>
    <mergeCell ref="G35:G36"/>
    <mergeCell ref="H35:H36"/>
    <mergeCell ref="I35:I36"/>
    <mergeCell ref="Z35:Z36"/>
    <mergeCell ref="AA35:AA36"/>
    <mergeCell ref="AB35:AB36"/>
    <mergeCell ref="C33:C34"/>
    <mergeCell ref="D33:D34"/>
    <mergeCell ref="E33:E34"/>
    <mergeCell ref="F33:F34"/>
    <mergeCell ref="G33:G34"/>
    <mergeCell ref="H33:H34"/>
    <mergeCell ref="I33:I34"/>
    <mergeCell ref="Z33:Z34"/>
    <mergeCell ref="AA33:AA34"/>
    <mergeCell ref="AB37:AB38"/>
    <mergeCell ref="C39:C40"/>
    <mergeCell ref="D39:D40"/>
    <mergeCell ref="E39:E40"/>
    <mergeCell ref="F39:F40"/>
    <mergeCell ref="G39:G40"/>
    <mergeCell ref="H39:H40"/>
    <mergeCell ref="I39:I40"/>
    <mergeCell ref="Z39:Z40"/>
    <mergeCell ref="AA39:AA40"/>
    <mergeCell ref="AB39:AB40"/>
    <mergeCell ref="C37:C38"/>
    <mergeCell ref="D37:D38"/>
    <mergeCell ref="E37:E38"/>
    <mergeCell ref="F37:F38"/>
    <mergeCell ref="G37:G38"/>
    <mergeCell ref="H37:H38"/>
    <mergeCell ref="I37:I38"/>
    <mergeCell ref="Z37:Z38"/>
    <mergeCell ref="AA37:AA38"/>
    <mergeCell ref="AB41:AB42"/>
    <mergeCell ref="C43:C44"/>
    <mergeCell ref="D43:D44"/>
    <mergeCell ref="E43:E44"/>
    <mergeCell ref="F43:F44"/>
    <mergeCell ref="G43:G44"/>
    <mergeCell ref="H43:H44"/>
    <mergeCell ref="I43:I44"/>
    <mergeCell ref="Z43:Z44"/>
    <mergeCell ref="AA43:AA44"/>
    <mergeCell ref="AB43:AB44"/>
    <mergeCell ref="C41:C42"/>
    <mergeCell ref="D41:D42"/>
    <mergeCell ref="E41:E42"/>
    <mergeCell ref="F41:F42"/>
    <mergeCell ref="G41:G42"/>
    <mergeCell ref="H41:H42"/>
    <mergeCell ref="I41:I42"/>
    <mergeCell ref="Z41:Z42"/>
    <mergeCell ref="AA41:AA42"/>
    <mergeCell ref="C45:C46"/>
    <mergeCell ref="D45:D46"/>
    <mergeCell ref="E45:E46"/>
    <mergeCell ref="F45:F46"/>
    <mergeCell ref="G45:G46"/>
    <mergeCell ref="H45:H46"/>
    <mergeCell ref="I45:I46"/>
    <mergeCell ref="Z45:Z46"/>
    <mergeCell ref="C47:C48"/>
    <mergeCell ref="D47:D48"/>
    <mergeCell ref="E47:E48"/>
    <mergeCell ref="F47:F48"/>
    <mergeCell ref="G47:G48"/>
    <mergeCell ref="H47:H48"/>
    <mergeCell ref="I47:I48"/>
    <mergeCell ref="Z47:Z48"/>
    <mergeCell ref="AA47:AA48"/>
    <mergeCell ref="AB47:AB48"/>
    <mergeCell ref="C49:C50"/>
    <mergeCell ref="D49:D50"/>
    <mergeCell ref="E49:E50"/>
    <mergeCell ref="F49:F50"/>
    <mergeCell ref="G49:G50"/>
    <mergeCell ref="H49:H50"/>
    <mergeCell ref="I49:I50"/>
    <mergeCell ref="Z49:Z50"/>
    <mergeCell ref="AA49:AA50"/>
    <mergeCell ref="AB49:AB50"/>
    <mergeCell ref="AB51:AB52"/>
    <mergeCell ref="C53:C54"/>
    <mergeCell ref="D53:D54"/>
    <mergeCell ref="E53:E54"/>
    <mergeCell ref="F53:F54"/>
    <mergeCell ref="G53:G54"/>
    <mergeCell ref="H53:H54"/>
    <mergeCell ref="I53:I54"/>
    <mergeCell ref="Z53:Z54"/>
    <mergeCell ref="AA53:AA54"/>
    <mergeCell ref="AB53:AB54"/>
    <mergeCell ref="C51:C52"/>
    <mergeCell ref="D51:D52"/>
    <mergeCell ref="E51:E52"/>
    <mergeCell ref="F51:F52"/>
    <mergeCell ref="G51:G52"/>
    <mergeCell ref="H51:H52"/>
    <mergeCell ref="I51:I52"/>
    <mergeCell ref="Z51:Z52"/>
    <mergeCell ref="AA51:AA52"/>
    <mergeCell ref="AB55:AB56"/>
    <mergeCell ref="C57:C58"/>
    <mergeCell ref="D57:D58"/>
    <mergeCell ref="E57:E58"/>
    <mergeCell ref="F57:F58"/>
    <mergeCell ref="G57:G58"/>
    <mergeCell ref="H57:H58"/>
    <mergeCell ref="I57:I58"/>
    <mergeCell ref="Z57:Z58"/>
    <mergeCell ref="AA57:AA58"/>
    <mergeCell ref="AB57:AB58"/>
    <mergeCell ref="C55:C56"/>
    <mergeCell ref="D55:D56"/>
    <mergeCell ref="E55:E56"/>
    <mergeCell ref="F55:F56"/>
    <mergeCell ref="G55:G56"/>
    <mergeCell ref="H55:H56"/>
    <mergeCell ref="I55:I56"/>
    <mergeCell ref="Z55:Z56"/>
    <mergeCell ref="AA55:AA56"/>
    <mergeCell ref="AB59:AB60"/>
    <mergeCell ref="C61:C62"/>
    <mergeCell ref="D61:D62"/>
    <mergeCell ref="E61:E62"/>
    <mergeCell ref="F61:F62"/>
    <mergeCell ref="G61:G62"/>
    <mergeCell ref="H61:H62"/>
    <mergeCell ref="I61:I62"/>
    <mergeCell ref="Z61:Z62"/>
    <mergeCell ref="AA61:AA62"/>
    <mergeCell ref="AB61:AB62"/>
    <mergeCell ref="C59:C60"/>
    <mergeCell ref="D59:D60"/>
    <mergeCell ref="E59:E60"/>
    <mergeCell ref="F59:F60"/>
    <mergeCell ref="G59:G60"/>
    <mergeCell ref="H59:H60"/>
    <mergeCell ref="I59:I60"/>
    <mergeCell ref="Z59:Z60"/>
    <mergeCell ref="AA59:AA60"/>
    <mergeCell ref="AB63:AB64"/>
    <mergeCell ref="C65:C66"/>
    <mergeCell ref="D65:D66"/>
    <mergeCell ref="E65:E66"/>
    <mergeCell ref="F65:F66"/>
    <mergeCell ref="G65:G66"/>
    <mergeCell ref="H65:H66"/>
    <mergeCell ref="I65:I66"/>
    <mergeCell ref="Z65:Z66"/>
    <mergeCell ref="C63:C64"/>
    <mergeCell ref="D63:D64"/>
    <mergeCell ref="E63:E64"/>
    <mergeCell ref="F63:F64"/>
    <mergeCell ref="G63:G64"/>
    <mergeCell ref="H63:H64"/>
    <mergeCell ref="I63:I64"/>
    <mergeCell ref="Z63:Z64"/>
    <mergeCell ref="AA63:AA64"/>
    <mergeCell ref="AA67:AA68"/>
    <mergeCell ref="AB67:AB68"/>
    <mergeCell ref="AA65:AA66"/>
    <mergeCell ref="AB65:AB66"/>
    <mergeCell ref="C67:C68"/>
    <mergeCell ref="D67:D68"/>
    <mergeCell ref="E67:E68"/>
    <mergeCell ref="F67:F68"/>
    <mergeCell ref="G67:G68"/>
    <mergeCell ref="H67:H68"/>
    <mergeCell ref="I67:I68"/>
    <mergeCell ref="Z67:Z68"/>
  </mergeCells>
  <phoneticPr fontId="15" type="noConversion"/>
  <printOptions horizontalCentered="1"/>
  <pageMargins left="0.31496062992125984" right="0.15748031496062992" top="0.55118110236220474" bottom="0.47244094488188981" header="0.31496062992125984" footer="0.31496062992125984"/>
  <pageSetup paperSize="9" scale="3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664"/>
  <sheetViews>
    <sheetView zoomScaleNormal="100" workbookViewId="0">
      <pane ySplit="5" topLeftCell="A650" activePane="bottomLeft" state="frozen"/>
      <selection pane="bottomLeft" activeCell="S665" sqref="S665"/>
    </sheetView>
  </sheetViews>
  <sheetFormatPr defaultColWidth="8.88671875" defaultRowHeight="13.5"/>
  <cols>
    <col min="1" max="2" width="8.77734375" style="29" customWidth="1"/>
    <col min="3" max="13" width="8.44140625" style="27" bestFit="1" customWidth="1"/>
    <col min="14" max="16384" width="8.88671875" style="27"/>
  </cols>
  <sheetData>
    <row r="1" spans="1:15" ht="78.75" customHeight="1">
      <c r="A1" s="1014" t="s">
        <v>128</v>
      </c>
      <c r="B1" s="1014"/>
      <c r="C1" s="1014"/>
      <c r="D1" s="1014"/>
      <c r="E1" s="1014"/>
      <c r="F1" s="1014"/>
      <c r="G1" s="1014"/>
      <c r="H1" s="1014"/>
      <c r="I1" s="1014"/>
      <c r="J1" s="1014"/>
      <c r="K1" s="1014"/>
      <c r="L1" s="1014"/>
      <c r="M1" s="1015"/>
      <c r="O1" s="109" t="s">
        <v>86</v>
      </c>
    </row>
    <row r="2" spans="1:15" ht="12" customHeight="1">
      <c r="A2" s="1016"/>
      <c r="B2" s="1016"/>
      <c r="C2" s="1016"/>
      <c r="D2" s="1016"/>
      <c r="E2" s="1016"/>
      <c r="F2" s="1016"/>
      <c r="G2" s="1016"/>
      <c r="H2" s="1016"/>
      <c r="I2" s="1016"/>
      <c r="J2" s="1016"/>
      <c r="K2" s="1016"/>
      <c r="L2" s="1016"/>
      <c r="M2" s="1017"/>
      <c r="O2" s="109"/>
    </row>
    <row r="3" spans="1:15" ht="12" customHeight="1" thickBot="1">
      <c r="A3" s="1016"/>
      <c r="B3" s="1016"/>
      <c r="C3" s="1016"/>
      <c r="D3" s="1016"/>
      <c r="E3" s="1016"/>
      <c r="F3" s="1016"/>
      <c r="G3" s="1016"/>
      <c r="H3" s="1016"/>
      <c r="I3" s="1016"/>
      <c r="J3" s="1016"/>
      <c r="K3" s="1016"/>
      <c r="L3" s="1016"/>
      <c r="M3" s="1017"/>
      <c r="O3" s="109"/>
    </row>
    <row r="4" spans="1:15" ht="40.5" customHeight="1">
      <c r="A4" s="1019" t="s">
        <v>51</v>
      </c>
      <c r="B4" s="1020"/>
      <c r="C4" s="1021" t="s">
        <v>27</v>
      </c>
      <c r="D4" s="1022"/>
      <c r="E4" s="1022"/>
      <c r="F4" s="1022"/>
      <c r="G4" s="1022"/>
      <c r="H4" s="1022"/>
      <c r="I4" s="1022"/>
      <c r="J4" s="1022"/>
      <c r="K4" s="1022"/>
      <c r="L4" s="1022"/>
      <c r="M4" s="1022"/>
      <c r="O4" s="109" t="s">
        <v>87</v>
      </c>
    </row>
    <row r="5" spans="1:15" ht="24" customHeight="1">
      <c r="A5" s="32" t="s">
        <v>0</v>
      </c>
      <c r="B5" s="33" t="s">
        <v>1</v>
      </c>
      <c r="C5" s="31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28">
        <v>11</v>
      </c>
    </row>
    <row r="6" spans="1:15" s="114" customFormat="1">
      <c r="A6" s="112">
        <v>770</v>
      </c>
      <c r="B6" s="112">
        <v>775</v>
      </c>
      <c r="C6" s="113">
        <v>0</v>
      </c>
      <c r="D6" s="113">
        <v>0</v>
      </c>
      <c r="E6" s="113">
        <v>0</v>
      </c>
      <c r="F6" s="113">
        <v>0</v>
      </c>
      <c r="G6" s="113">
        <v>0</v>
      </c>
      <c r="H6" s="113">
        <v>0</v>
      </c>
      <c r="I6" s="113">
        <v>0</v>
      </c>
      <c r="J6" s="113">
        <v>0</v>
      </c>
      <c r="K6" s="113">
        <v>0</v>
      </c>
      <c r="L6" s="113">
        <v>0</v>
      </c>
      <c r="M6" s="113">
        <v>0</v>
      </c>
    </row>
    <row r="7" spans="1:15" s="114" customFormat="1">
      <c r="A7" s="112">
        <v>775</v>
      </c>
      <c r="B7" s="112">
        <v>780</v>
      </c>
      <c r="C7" s="113">
        <v>0</v>
      </c>
      <c r="D7" s="113">
        <v>0</v>
      </c>
      <c r="E7" s="113">
        <v>0</v>
      </c>
      <c r="F7" s="113">
        <v>0</v>
      </c>
      <c r="G7" s="113">
        <v>0</v>
      </c>
      <c r="H7" s="113">
        <v>0</v>
      </c>
      <c r="I7" s="113">
        <v>0</v>
      </c>
      <c r="J7" s="113">
        <v>0</v>
      </c>
      <c r="K7" s="113">
        <v>0</v>
      </c>
      <c r="L7" s="113">
        <v>0</v>
      </c>
      <c r="M7" s="113">
        <v>0</v>
      </c>
    </row>
    <row r="8" spans="1:15" s="114" customFormat="1">
      <c r="A8" s="112">
        <v>780</v>
      </c>
      <c r="B8" s="112">
        <v>785</v>
      </c>
      <c r="C8" s="113">
        <v>0</v>
      </c>
      <c r="D8" s="113">
        <v>0</v>
      </c>
      <c r="E8" s="113">
        <v>0</v>
      </c>
      <c r="F8" s="113">
        <v>0</v>
      </c>
      <c r="G8" s="113">
        <v>0</v>
      </c>
      <c r="H8" s="113">
        <v>0</v>
      </c>
      <c r="I8" s="113">
        <v>0</v>
      </c>
      <c r="J8" s="113">
        <v>0</v>
      </c>
      <c r="K8" s="113">
        <v>0</v>
      </c>
      <c r="L8" s="113">
        <v>0</v>
      </c>
      <c r="M8" s="113">
        <v>0</v>
      </c>
    </row>
    <row r="9" spans="1:15" s="114" customFormat="1">
      <c r="A9" s="112">
        <v>785</v>
      </c>
      <c r="B9" s="112">
        <v>790</v>
      </c>
      <c r="C9" s="113">
        <v>0</v>
      </c>
      <c r="D9" s="113">
        <v>0</v>
      </c>
      <c r="E9" s="113">
        <v>0</v>
      </c>
      <c r="F9" s="113">
        <v>0</v>
      </c>
      <c r="G9" s="113">
        <v>0</v>
      </c>
      <c r="H9" s="113">
        <v>0</v>
      </c>
      <c r="I9" s="113">
        <v>0</v>
      </c>
      <c r="J9" s="113">
        <v>0</v>
      </c>
      <c r="K9" s="113">
        <v>0</v>
      </c>
      <c r="L9" s="113">
        <v>0</v>
      </c>
      <c r="M9" s="113">
        <v>0</v>
      </c>
    </row>
    <row r="10" spans="1:15" s="114" customFormat="1">
      <c r="A10" s="112">
        <v>790</v>
      </c>
      <c r="B10" s="112">
        <v>795</v>
      </c>
      <c r="C10" s="113">
        <v>0</v>
      </c>
      <c r="D10" s="113">
        <v>0</v>
      </c>
      <c r="E10" s="113">
        <v>0</v>
      </c>
      <c r="F10" s="113">
        <v>0</v>
      </c>
      <c r="G10" s="113">
        <v>0</v>
      </c>
      <c r="H10" s="113">
        <v>0</v>
      </c>
      <c r="I10" s="113">
        <v>0</v>
      </c>
      <c r="J10" s="113">
        <v>0</v>
      </c>
      <c r="K10" s="113">
        <v>0</v>
      </c>
      <c r="L10" s="113">
        <v>0</v>
      </c>
      <c r="M10" s="113">
        <v>0</v>
      </c>
    </row>
    <row r="11" spans="1:15" s="114" customFormat="1">
      <c r="A11" s="112">
        <v>795</v>
      </c>
      <c r="B11" s="112">
        <v>800</v>
      </c>
      <c r="C11" s="113">
        <v>0</v>
      </c>
      <c r="D11" s="113">
        <v>0</v>
      </c>
      <c r="E11" s="113">
        <v>0</v>
      </c>
      <c r="F11" s="113">
        <v>0</v>
      </c>
      <c r="G11" s="113">
        <v>0</v>
      </c>
      <c r="H11" s="113">
        <v>0</v>
      </c>
      <c r="I11" s="113">
        <v>0</v>
      </c>
      <c r="J11" s="113">
        <v>0</v>
      </c>
      <c r="K11" s="113">
        <v>0</v>
      </c>
      <c r="L11" s="113">
        <v>0</v>
      </c>
      <c r="M11" s="113">
        <v>0</v>
      </c>
    </row>
    <row r="12" spans="1:15" s="114" customFormat="1">
      <c r="A12" s="112">
        <v>800</v>
      </c>
      <c r="B12" s="112">
        <v>805</v>
      </c>
      <c r="C12" s="113">
        <v>0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</row>
    <row r="13" spans="1:15" s="114" customFormat="1">
      <c r="A13" s="112">
        <v>805</v>
      </c>
      <c r="B13" s="112">
        <v>810</v>
      </c>
      <c r="C13" s="113">
        <v>0</v>
      </c>
      <c r="D13" s="113">
        <v>0</v>
      </c>
      <c r="E13" s="113">
        <v>0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0</v>
      </c>
      <c r="L13" s="113">
        <v>0</v>
      </c>
      <c r="M13" s="113">
        <v>0</v>
      </c>
    </row>
    <row r="14" spans="1:15" s="114" customFormat="1">
      <c r="A14" s="112">
        <v>810</v>
      </c>
      <c r="B14" s="112">
        <v>815</v>
      </c>
      <c r="C14" s="113">
        <v>0</v>
      </c>
      <c r="D14" s="113">
        <v>0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3">
        <v>0</v>
      </c>
      <c r="M14" s="113">
        <v>0</v>
      </c>
    </row>
    <row r="15" spans="1:15" s="114" customFormat="1">
      <c r="A15" s="112">
        <v>815</v>
      </c>
      <c r="B15" s="112">
        <v>820</v>
      </c>
      <c r="C15" s="113">
        <v>0</v>
      </c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113">
        <v>0</v>
      </c>
      <c r="M15" s="113">
        <v>0</v>
      </c>
    </row>
    <row r="16" spans="1:15" s="114" customFormat="1">
      <c r="A16" s="112">
        <v>820</v>
      </c>
      <c r="B16" s="112">
        <v>825</v>
      </c>
      <c r="C16" s="113">
        <v>0</v>
      </c>
      <c r="D16" s="113">
        <v>0</v>
      </c>
      <c r="E16" s="113">
        <v>0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0</v>
      </c>
      <c r="L16" s="113">
        <v>0</v>
      </c>
      <c r="M16" s="113">
        <v>0</v>
      </c>
    </row>
    <row r="17" spans="1:13" s="114" customFormat="1">
      <c r="A17" s="112">
        <v>825</v>
      </c>
      <c r="B17" s="112">
        <v>830</v>
      </c>
      <c r="C17" s="113">
        <v>0</v>
      </c>
      <c r="D17" s="113">
        <v>0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</row>
    <row r="18" spans="1:13" s="114" customFormat="1">
      <c r="A18" s="112">
        <v>830</v>
      </c>
      <c r="B18" s="112">
        <v>835</v>
      </c>
      <c r="C18" s="113">
        <v>0</v>
      </c>
      <c r="D18" s="113">
        <v>0</v>
      </c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  <c r="L18" s="113">
        <v>0</v>
      </c>
      <c r="M18" s="113">
        <v>0</v>
      </c>
    </row>
    <row r="19" spans="1:13" s="114" customFormat="1">
      <c r="A19" s="112">
        <v>835</v>
      </c>
      <c r="B19" s="112">
        <v>840</v>
      </c>
      <c r="C19" s="113">
        <v>0</v>
      </c>
      <c r="D19" s="113">
        <v>0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3">
        <v>0</v>
      </c>
    </row>
    <row r="20" spans="1:13" s="114" customFormat="1">
      <c r="A20" s="112">
        <v>840</v>
      </c>
      <c r="B20" s="112">
        <v>845</v>
      </c>
      <c r="C20" s="113">
        <v>0</v>
      </c>
      <c r="D20" s="113">
        <v>0</v>
      </c>
      <c r="E20" s="113">
        <v>0</v>
      </c>
      <c r="F20" s="113">
        <v>0</v>
      </c>
      <c r="G20" s="113">
        <v>0</v>
      </c>
      <c r="H20" s="113">
        <v>0</v>
      </c>
      <c r="I20" s="113">
        <v>0</v>
      </c>
      <c r="J20" s="113">
        <v>0</v>
      </c>
      <c r="K20" s="113">
        <v>0</v>
      </c>
      <c r="L20" s="113">
        <v>0</v>
      </c>
      <c r="M20" s="113">
        <v>0</v>
      </c>
    </row>
    <row r="21" spans="1:13" s="114" customFormat="1">
      <c r="A21" s="112">
        <v>845</v>
      </c>
      <c r="B21" s="112">
        <v>850</v>
      </c>
      <c r="C21" s="113">
        <v>0</v>
      </c>
      <c r="D21" s="113">
        <v>0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3">
        <v>0</v>
      </c>
    </row>
    <row r="22" spans="1:13" s="114" customFormat="1">
      <c r="A22" s="112">
        <v>850</v>
      </c>
      <c r="B22" s="112">
        <v>855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</row>
    <row r="23" spans="1:13" s="114" customFormat="1">
      <c r="A23" s="112">
        <v>855</v>
      </c>
      <c r="B23" s="112">
        <v>860</v>
      </c>
      <c r="C23" s="113">
        <v>0</v>
      </c>
      <c r="D23" s="113">
        <v>0</v>
      </c>
      <c r="E23" s="113">
        <v>0</v>
      </c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113">
        <v>0</v>
      </c>
    </row>
    <row r="24" spans="1:13" s="114" customFormat="1">
      <c r="A24" s="112">
        <v>860</v>
      </c>
      <c r="B24" s="112">
        <v>865</v>
      </c>
      <c r="C24" s="113">
        <v>0</v>
      </c>
      <c r="D24" s="113">
        <v>0</v>
      </c>
      <c r="E24" s="113">
        <v>0</v>
      </c>
      <c r="F24" s="113">
        <v>0</v>
      </c>
      <c r="G24" s="113">
        <v>0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</row>
    <row r="25" spans="1:13" s="114" customFormat="1">
      <c r="A25" s="112">
        <v>865</v>
      </c>
      <c r="B25" s="112">
        <v>870</v>
      </c>
      <c r="C25" s="113">
        <v>0</v>
      </c>
      <c r="D25" s="113">
        <v>0</v>
      </c>
      <c r="E25" s="113">
        <v>0</v>
      </c>
      <c r="F25" s="113">
        <v>0</v>
      </c>
      <c r="G25" s="113">
        <v>0</v>
      </c>
      <c r="H25" s="113">
        <v>0</v>
      </c>
      <c r="I25" s="113">
        <v>0</v>
      </c>
      <c r="J25" s="113">
        <v>0</v>
      </c>
      <c r="K25" s="113">
        <v>0</v>
      </c>
      <c r="L25" s="113">
        <v>0</v>
      </c>
      <c r="M25" s="113">
        <v>0</v>
      </c>
    </row>
    <row r="26" spans="1:13" s="114" customFormat="1">
      <c r="A26" s="112">
        <v>870</v>
      </c>
      <c r="B26" s="112">
        <v>875</v>
      </c>
      <c r="C26" s="113">
        <v>0</v>
      </c>
      <c r="D26" s="113">
        <v>0</v>
      </c>
      <c r="E26" s="113">
        <v>0</v>
      </c>
      <c r="F26" s="113">
        <v>0</v>
      </c>
      <c r="G26" s="113">
        <v>0</v>
      </c>
      <c r="H26" s="113">
        <v>0</v>
      </c>
      <c r="I26" s="113">
        <v>0</v>
      </c>
      <c r="J26" s="113">
        <v>0</v>
      </c>
      <c r="K26" s="113">
        <v>0</v>
      </c>
      <c r="L26" s="113">
        <v>0</v>
      </c>
      <c r="M26" s="113">
        <v>0</v>
      </c>
    </row>
    <row r="27" spans="1:13" s="114" customFormat="1">
      <c r="A27" s="112">
        <v>875</v>
      </c>
      <c r="B27" s="112">
        <v>880</v>
      </c>
      <c r="C27" s="113">
        <v>0</v>
      </c>
      <c r="D27" s="113">
        <v>0</v>
      </c>
      <c r="E27" s="113">
        <v>0</v>
      </c>
      <c r="F27" s="113">
        <v>0</v>
      </c>
      <c r="G27" s="113">
        <v>0</v>
      </c>
      <c r="H27" s="113">
        <v>0</v>
      </c>
      <c r="I27" s="113">
        <v>0</v>
      </c>
      <c r="J27" s="113">
        <v>0</v>
      </c>
      <c r="K27" s="113">
        <v>0</v>
      </c>
      <c r="L27" s="113">
        <v>0</v>
      </c>
      <c r="M27" s="113">
        <v>0</v>
      </c>
    </row>
    <row r="28" spans="1:13" s="114" customFormat="1">
      <c r="A28" s="112">
        <v>880</v>
      </c>
      <c r="B28" s="112">
        <v>885</v>
      </c>
      <c r="C28" s="113">
        <v>0</v>
      </c>
      <c r="D28" s="113">
        <v>0</v>
      </c>
      <c r="E28" s="113">
        <v>0</v>
      </c>
      <c r="F28" s="113">
        <v>0</v>
      </c>
      <c r="G28" s="113">
        <v>0</v>
      </c>
      <c r="H28" s="113">
        <v>0</v>
      </c>
      <c r="I28" s="113">
        <v>0</v>
      </c>
      <c r="J28" s="113">
        <v>0</v>
      </c>
      <c r="K28" s="113">
        <v>0</v>
      </c>
      <c r="L28" s="113">
        <v>0</v>
      </c>
      <c r="M28" s="113">
        <v>0</v>
      </c>
    </row>
    <row r="29" spans="1:13" s="114" customFormat="1">
      <c r="A29" s="112">
        <v>885</v>
      </c>
      <c r="B29" s="112">
        <v>890</v>
      </c>
      <c r="C29" s="113">
        <v>0</v>
      </c>
      <c r="D29" s="113">
        <v>0</v>
      </c>
      <c r="E29" s="113">
        <v>0</v>
      </c>
      <c r="F29" s="113">
        <v>0</v>
      </c>
      <c r="G29" s="113">
        <v>0</v>
      </c>
      <c r="H29" s="113">
        <v>0</v>
      </c>
      <c r="I29" s="113">
        <v>0</v>
      </c>
      <c r="J29" s="113">
        <v>0</v>
      </c>
      <c r="K29" s="113">
        <v>0</v>
      </c>
      <c r="L29" s="113">
        <v>0</v>
      </c>
      <c r="M29" s="113">
        <v>0</v>
      </c>
    </row>
    <row r="30" spans="1:13" s="114" customFormat="1">
      <c r="A30" s="112">
        <v>890</v>
      </c>
      <c r="B30" s="112">
        <v>895</v>
      </c>
      <c r="C30" s="113">
        <v>0</v>
      </c>
      <c r="D30" s="113">
        <v>0</v>
      </c>
      <c r="E30" s="113">
        <v>0</v>
      </c>
      <c r="F30" s="113">
        <v>0</v>
      </c>
      <c r="G30" s="113">
        <v>0</v>
      </c>
      <c r="H30" s="113">
        <v>0</v>
      </c>
      <c r="I30" s="113">
        <v>0</v>
      </c>
      <c r="J30" s="113">
        <v>0</v>
      </c>
      <c r="K30" s="113">
        <v>0</v>
      </c>
      <c r="L30" s="113">
        <v>0</v>
      </c>
      <c r="M30" s="113">
        <v>0</v>
      </c>
    </row>
    <row r="31" spans="1:13" s="114" customFormat="1">
      <c r="A31" s="112">
        <v>895</v>
      </c>
      <c r="B31" s="112">
        <v>900</v>
      </c>
      <c r="C31" s="113">
        <v>0</v>
      </c>
      <c r="D31" s="113">
        <v>0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0</v>
      </c>
      <c r="L31" s="113">
        <v>0</v>
      </c>
      <c r="M31" s="113">
        <v>0</v>
      </c>
    </row>
    <row r="32" spans="1:13" s="114" customFormat="1">
      <c r="A32" s="112">
        <v>900</v>
      </c>
      <c r="B32" s="112">
        <v>905</v>
      </c>
      <c r="C32" s="113">
        <v>0</v>
      </c>
      <c r="D32" s="113">
        <v>0</v>
      </c>
      <c r="E32" s="113">
        <v>0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3">
        <v>0</v>
      </c>
    </row>
    <row r="33" spans="1:13" s="114" customFormat="1">
      <c r="A33" s="112">
        <v>905</v>
      </c>
      <c r="B33" s="112">
        <v>910</v>
      </c>
      <c r="C33" s="113">
        <v>0</v>
      </c>
      <c r="D33" s="113">
        <v>0</v>
      </c>
      <c r="E33" s="113">
        <v>0</v>
      </c>
      <c r="F33" s="113">
        <v>0</v>
      </c>
      <c r="G33" s="113">
        <v>0</v>
      </c>
      <c r="H33" s="113">
        <v>0</v>
      </c>
      <c r="I33" s="113">
        <v>0</v>
      </c>
      <c r="J33" s="113">
        <v>0</v>
      </c>
      <c r="K33" s="113">
        <v>0</v>
      </c>
      <c r="L33" s="113">
        <v>0</v>
      </c>
      <c r="M33" s="113">
        <v>0</v>
      </c>
    </row>
    <row r="34" spans="1:13" s="114" customFormat="1">
      <c r="A34" s="112">
        <v>910</v>
      </c>
      <c r="B34" s="112">
        <v>915</v>
      </c>
      <c r="C34" s="113">
        <v>0</v>
      </c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0</v>
      </c>
      <c r="L34" s="113">
        <v>0</v>
      </c>
      <c r="M34" s="113">
        <v>0</v>
      </c>
    </row>
    <row r="35" spans="1:13" s="114" customFormat="1">
      <c r="A35" s="112">
        <v>915</v>
      </c>
      <c r="B35" s="112">
        <v>920</v>
      </c>
      <c r="C35" s="113">
        <v>0</v>
      </c>
      <c r="D35" s="113">
        <v>0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  <c r="J35" s="113">
        <v>0</v>
      </c>
      <c r="K35" s="113">
        <v>0</v>
      </c>
      <c r="L35" s="113">
        <v>0</v>
      </c>
      <c r="M35" s="113">
        <v>0</v>
      </c>
    </row>
    <row r="36" spans="1:13" s="114" customFormat="1">
      <c r="A36" s="112">
        <v>920</v>
      </c>
      <c r="B36" s="112">
        <v>925</v>
      </c>
      <c r="C36" s="113">
        <v>0</v>
      </c>
      <c r="D36" s="113">
        <v>0</v>
      </c>
      <c r="E36" s="113">
        <v>0</v>
      </c>
      <c r="F36" s="113">
        <v>0</v>
      </c>
      <c r="G36" s="113">
        <v>0</v>
      </c>
      <c r="H36" s="113">
        <v>0</v>
      </c>
      <c r="I36" s="113">
        <v>0</v>
      </c>
      <c r="J36" s="113">
        <v>0</v>
      </c>
      <c r="K36" s="113">
        <v>0</v>
      </c>
      <c r="L36" s="113">
        <v>0</v>
      </c>
      <c r="M36" s="113">
        <v>0</v>
      </c>
    </row>
    <row r="37" spans="1:13" s="114" customFormat="1">
      <c r="A37" s="112">
        <v>925</v>
      </c>
      <c r="B37" s="112">
        <v>930</v>
      </c>
      <c r="C37" s="113">
        <v>0</v>
      </c>
      <c r="D37" s="113">
        <v>0</v>
      </c>
      <c r="E37" s="113">
        <v>0</v>
      </c>
      <c r="F37" s="113">
        <v>0</v>
      </c>
      <c r="G37" s="113">
        <v>0</v>
      </c>
      <c r="H37" s="113">
        <v>0</v>
      </c>
      <c r="I37" s="113">
        <v>0</v>
      </c>
      <c r="J37" s="113">
        <v>0</v>
      </c>
      <c r="K37" s="113">
        <v>0</v>
      </c>
      <c r="L37" s="113">
        <v>0</v>
      </c>
      <c r="M37" s="113">
        <v>0</v>
      </c>
    </row>
    <row r="38" spans="1:13" s="114" customFormat="1">
      <c r="A38" s="112">
        <v>930</v>
      </c>
      <c r="B38" s="112">
        <v>935</v>
      </c>
      <c r="C38" s="113">
        <v>0</v>
      </c>
      <c r="D38" s="113">
        <v>0</v>
      </c>
      <c r="E38" s="113">
        <v>0</v>
      </c>
      <c r="F38" s="113">
        <v>0</v>
      </c>
      <c r="G38" s="113">
        <v>0</v>
      </c>
      <c r="H38" s="113">
        <v>0</v>
      </c>
      <c r="I38" s="113">
        <v>0</v>
      </c>
      <c r="J38" s="113">
        <v>0</v>
      </c>
      <c r="K38" s="113">
        <v>0</v>
      </c>
      <c r="L38" s="113">
        <v>0</v>
      </c>
      <c r="M38" s="113">
        <v>0</v>
      </c>
    </row>
    <row r="39" spans="1:13" s="114" customFormat="1">
      <c r="A39" s="112">
        <v>935</v>
      </c>
      <c r="B39" s="112">
        <v>940</v>
      </c>
      <c r="C39" s="113">
        <v>0</v>
      </c>
      <c r="D39" s="113">
        <v>0</v>
      </c>
      <c r="E39" s="113">
        <v>0</v>
      </c>
      <c r="F39" s="113">
        <v>0</v>
      </c>
      <c r="G39" s="113">
        <v>0</v>
      </c>
      <c r="H39" s="113">
        <v>0</v>
      </c>
      <c r="I39" s="113">
        <v>0</v>
      </c>
      <c r="J39" s="113">
        <v>0</v>
      </c>
      <c r="K39" s="113">
        <v>0</v>
      </c>
      <c r="L39" s="113">
        <v>0</v>
      </c>
      <c r="M39" s="113">
        <v>0</v>
      </c>
    </row>
    <row r="40" spans="1:13" s="114" customFormat="1">
      <c r="A40" s="112">
        <v>940</v>
      </c>
      <c r="B40" s="112">
        <v>945</v>
      </c>
      <c r="C40" s="113">
        <v>0</v>
      </c>
      <c r="D40" s="113">
        <v>0</v>
      </c>
      <c r="E40" s="113">
        <v>0</v>
      </c>
      <c r="F40" s="113">
        <v>0</v>
      </c>
      <c r="G40" s="113">
        <v>0</v>
      </c>
      <c r="H40" s="113">
        <v>0</v>
      </c>
      <c r="I40" s="113">
        <v>0</v>
      </c>
      <c r="J40" s="113">
        <v>0</v>
      </c>
      <c r="K40" s="113">
        <v>0</v>
      </c>
      <c r="L40" s="113">
        <v>0</v>
      </c>
      <c r="M40" s="113">
        <v>0</v>
      </c>
    </row>
    <row r="41" spans="1:13" s="114" customFormat="1">
      <c r="A41" s="112">
        <v>945</v>
      </c>
      <c r="B41" s="112">
        <v>950</v>
      </c>
      <c r="C41" s="113">
        <v>0</v>
      </c>
      <c r="D41" s="113">
        <v>0</v>
      </c>
      <c r="E41" s="113">
        <v>0</v>
      </c>
      <c r="F41" s="113">
        <v>0</v>
      </c>
      <c r="G41" s="113">
        <v>0</v>
      </c>
      <c r="H41" s="113">
        <v>0</v>
      </c>
      <c r="I41" s="113">
        <v>0</v>
      </c>
      <c r="J41" s="113">
        <v>0</v>
      </c>
      <c r="K41" s="113">
        <v>0</v>
      </c>
      <c r="L41" s="113">
        <v>0</v>
      </c>
      <c r="M41" s="113">
        <v>0</v>
      </c>
    </row>
    <row r="42" spans="1:13" s="114" customFormat="1">
      <c r="A42" s="112">
        <v>950</v>
      </c>
      <c r="B42" s="112">
        <v>955</v>
      </c>
      <c r="C42" s="113">
        <v>0</v>
      </c>
      <c r="D42" s="113">
        <v>0</v>
      </c>
      <c r="E42" s="113">
        <v>0</v>
      </c>
      <c r="F42" s="113">
        <v>0</v>
      </c>
      <c r="G42" s="113">
        <v>0</v>
      </c>
      <c r="H42" s="113">
        <v>0</v>
      </c>
      <c r="I42" s="113">
        <v>0</v>
      </c>
      <c r="J42" s="113">
        <v>0</v>
      </c>
      <c r="K42" s="113">
        <v>0</v>
      </c>
      <c r="L42" s="113">
        <v>0</v>
      </c>
      <c r="M42" s="113">
        <v>0</v>
      </c>
    </row>
    <row r="43" spans="1:13" s="114" customFormat="1">
      <c r="A43" s="112">
        <v>955</v>
      </c>
      <c r="B43" s="112">
        <v>960</v>
      </c>
      <c r="C43" s="113">
        <v>0</v>
      </c>
      <c r="D43" s="113">
        <v>0</v>
      </c>
      <c r="E43" s="113">
        <v>0</v>
      </c>
      <c r="F43" s="113">
        <v>0</v>
      </c>
      <c r="G43" s="113">
        <v>0</v>
      </c>
      <c r="H43" s="113">
        <v>0</v>
      </c>
      <c r="I43" s="113">
        <v>0</v>
      </c>
      <c r="J43" s="113">
        <v>0</v>
      </c>
      <c r="K43" s="113">
        <v>0</v>
      </c>
      <c r="L43" s="113">
        <v>0</v>
      </c>
      <c r="M43" s="113">
        <v>0</v>
      </c>
    </row>
    <row r="44" spans="1:13" s="114" customFormat="1">
      <c r="A44" s="112">
        <v>960</v>
      </c>
      <c r="B44" s="112">
        <v>965</v>
      </c>
      <c r="C44" s="113">
        <v>0</v>
      </c>
      <c r="D44" s="113">
        <v>0</v>
      </c>
      <c r="E44" s="113">
        <v>0</v>
      </c>
      <c r="F44" s="113">
        <v>0</v>
      </c>
      <c r="G44" s="113">
        <v>0</v>
      </c>
      <c r="H44" s="113">
        <v>0</v>
      </c>
      <c r="I44" s="113">
        <v>0</v>
      </c>
      <c r="J44" s="113">
        <v>0</v>
      </c>
      <c r="K44" s="113">
        <v>0</v>
      </c>
      <c r="L44" s="113">
        <v>0</v>
      </c>
      <c r="M44" s="113">
        <v>0</v>
      </c>
    </row>
    <row r="45" spans="1:13" s="114" customFormat="1">
      <c r="A45" s="112">
        <v>965</v>
      </c>
      <c r="B45" s="112">
        <v>970</v>
      </c>
      <c r="C45" s="113">
        <v>0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13">
        <v>0</v>
      </c>
      <c r="M45" s="113">
        <v>0</v>
      </c>
    </row>
    <row r="46" spans="1:13" s="114" customFormat="1">
      <c r="A46" s="112">
        <v>970</v>
      </c>
      <c r="B46" s="112">
        <v>975</v>
      </c>
      <c r="C46" s="113">
        <v>0</v>
      </c>
      <c r="D46" s="113">
        <v>0</v>
      </c>
      <c r="E46" s="113">
        <v>0</v>
      </c>
      <c r="F46" s="113">
        <v>0</v>
      </c>
      <c r="G46" s="113">
        <v>0</v>
      </c>
      <c r="H46" s="113">
        <v>0</v>
      </c>
      <c r="I46" s="113">
        <v>0</v>
      </c>
      <c r="J46" s="113">
        <v>0</v>
      </c>
      <c r="K46" s="113">
        <v>0</v>
      </c>
      <c r="L46" s="113">
        <v>0</v>
      </c>
      <c r="M46" s="113">
        <v>0</v>
      </c>
    </row>
    <row r="47" spans="1:13" s="114" customFormat="1">
      <c r="A47" s="112">
        <v>975</v>
      </c>
      <c r="B47" s="112">
        <v>980</v>
      </c>
      <c r="C47" s="113">
        <v>0</v>
      </c>
      <c r="D47" s="113">
        <v>0</v>
      </c>
      <c r="E47" s="113">
        <v>0</v>
      </c>
      <c r="F47" s="113">
        <v>0</v>
      </c>
      <c r="G47" s="113">
        <v>0</v>
      </c>
      <c r="H47" s="113">
        <v>0</v>
      </c>
      <c r="I47" s="113">
        <v>0</v>
      </c>
      <c r="J47" s="113">
        <v>0</v>
      </c>
      <c r="K47" s="113">
        <v>0</v>
      </c>
      <c r="L47" s="113">
        <v>0</v>
      </c>
      <c r="M47" s="113">
        <v>0</v>
      </c>
    </row>
    <row r="48" spans="1:13" s="114" customFormat="1">
      <c r="A48" s="112">
        <v>980</v>
      </c>
      <c r="B48" s="112">
        <v>985</v>
      </c>
      <c r="C48" s="113">
        <v>0</v>
      </c>
      <c r="D48" s="113">
        <v>0</v>
      </c>
      <c r="E48" s="113">
        <v>0</v>
      </c>
      <c r="F48" s="113">
        <v>0</v>
      </c>
      <c r="G48" s="113">
        <v>0</v>
      </c>
      <c r="H48" s="113">
        <v>0</v>
      </c>
      <c r="I48" s="113">
        <v>0</v>
      </c>
      <c r="J48" s="113">
        <v>0</v>
      </c>
      <c r="K48" s="113">
        <v>0</v>
      </c>
      <c r="L48" s="113">
        <v>0</v>
      </c>
      <c r="M48" s="113">
        <v>0</v>
      </c>
    </row>
    <row r="49" spans="1:13" s="114" customFormat="1">
      <c r="A49" s="112">
        <v>985</v>
      </c>
      <c r="B49" s="112">
        <v>990</v>
      </c>
      <c r="C49" s="113">
        <v>0</v>
      </c>
      <c r="D49" s="113">
        <v>0</v>
      </c>
      <c r="E49" s="113">
        <v>0</v>
      </c>
      <c r="F49" s="113">
        <v>0</v>
      </c>
      <c r="G49" s="113">
        <v>0</v>
      </c>
      <c r="H49" s="113">
        <v>0</v>
      </c>
      <c r="I49" s="113">
        <v>0</v>
      </c>
      <c r="J49" s="113">
        <v>0</v>
      </c>
      <c r="K49" s="113">
        <v>0</v>
      </c>
      <c r="L49" s="113">
        <v>0</v>
      </c>
      <c r="M49" s="113">
        <v>0</v>
      </c>
    </row>
    <row r="50" spans="1:13" s="114" customFormat="1">
      <c r="A50" s="112">
        <v>990</v>
      </c>
      <c r="B50" s="112">
        <v>995</v>
      </c>
      <c r="C50" s="113">
        <v>0</v>
      </c>
      <c r="D50" s="113">
        <v>0</v>
      </c>
      <c r="E50" s="113">
        <v>0</v>
      </c>
      <c r="F50" s="113">
        <v>0</v>
      </c>
      <c r="G50" s="113">
        <v>0</v>
      </c>
      <c r="H50" s="113">
        <v>0</v>
      </c>
      <c r="I50" s="113">
        <v>0</v>
      </c>
      <c r="J50" s="113">
        <v>0</v>
      </c>
      <c r="K50" s="113">
        <v>0</v>
      </c>
      <c r="L50" s="113">
        <v>0</v>
      </c>
      <c r="M50" s="113">
        <v>0</v>
      </c>
    </row>
    <row r="51" spans="1:13" s="114" customFormat="1">
      <c r="A51" s="112">
        <v>995</v>
      </c>
      <c r="B51" s="107">
        <v>1000</v>
      </c>
      <c r="C51" s="113">
        <v>0</v>
      </c>
      <c r="D51" s="113">
        <v>0</v>
      </c>
      <c r="E51" s="113">
        <v>0</v>
      </c>
      <c r="F51" s="113">
        <v>0</v>
      </c>
      <c r="G51" s="113">
        <v>0</v>
      </c>
      <c r="H51" s="113">
        <v>0</v>
      </c>
      <c r="I51" s="113">
        <v>0</v>
      </c>
      <c r="J51" s="113">
        <v>0</v>
      </c>
      <c r="K51" s="113">
        <v>0</v>
      </c>
      <c r="L51" s="113">
        <v>0</v>
      </c>
      <c r="M51" s="113">
        <v>0</v>
      </c>
    </row>
    <row r="52" spans="1:13" s="114" customFormat="1">
      <c r="A52" s="107">
        <v>1000</v>
      </c>
      <c r="B52" s="107">
        <v>1005</v>
      </c>
      <c r="C52" s="113">
        <v>0</v>
      </c>
      <c r="D52" s="113">
        <v>0</v>
      </c>
      <c r="E52" s="113">
        <v>0</v>
      </c>
      <c r="F52" s="113">
        <v>0</v>
      </c>
      <c r="G52" s="113">
        <v>0</v>
      </c>
      <c r="H52" s="113">
        <v>0</v>
      </c>
      <c r="I52" s="113">
        <v>0</v>
      </c>
      <c r="J52" s="113">
        <v>0</v>
      </c>
      <c r="K52" s="113">
        <v>0</v>
      </c>
      <c r="L52" s="113">
        <v>0</v>
      </c>
      <c r="M52" s="113">
        <v>0</v>
      </c>
    </row>
    <row r="53" spans="1:13" s="114" customFormat="1">
      <c r="A53" s="107">
        <v>1005</v>
      </c>
      <c r="B53" s="107">
        <v>1010</v>
      </c>
      <c r="C53" s="113">
        <v>0</v>
      </c>
      <c r="D53" s="113">
        <v>0</v>
      </c>
      <c r="E53" s="113">
        <v>0</v>
      </c>
      <c r="F53" s="113">
        <v>0</v>
      </c>
      <c r="G53" s="113">
        <v>0</v>
      </c>
      <c r="H53" s="113">
        <v>0</v>
      </c>
      <c r="I53" s="113">
        <v>0</v>
      </c>
      <c r="J53" s="113">
        <v>0</v>
      </c>
      <c r="K53" s="113">
        <v>0</v>
      </c>
      <c r="L53" s="113">
        <v>0</v>
      </c>
      <c r="M53" s="113">
        <v>0</v>
      </c>
    </row>
    <row r="54" spans="1:13" s="114" customFormat="1">
      <c r="A54" s="107">
        <v>1010</v>
      </c>
      <c r="B54" s="107">
        <v>1015</v>
      </c>
      <c r="C54" s="113">
        <v>0</v>
      </c>
      <c r="D54" s="113">
        <v>0</v>
      </c>
      <c r="E54" s="113">
        <v>0</v>
      </c>
      <c r="F54" s="113">
        <v>0</v>
      </c>
      <c r="G54" s="113">
        <v>0</v>
      </c>
      <c r="H54" s="113">
        <v>0</v>
      </c>
      <c r="I54" s="113">
        <v>0</v>
      </c>
      <c r="J54" s="113">
        <v>0</v>
      </c>
      <c r="K54" s="113">
        <v>0</v>
      </c>
      <c r="L54" s="113">
        <v>0</v>
      </c>
      <c r="M54" s="113">
        <v>0</v>
      </c>
    </row>
    <row r="55" spans="1:13" s="114" customFormat="1">
      <c r="A55" s="107">
        <v>1015</v>
      </c>
      <c r="B55" s="107">
        <v>1020</v>
      </c>
      <c r="C55" s="113">
        <v>0</v>
      </c>
      <c r="D55" s="113">
        <v>0</v>
      </c>
      <c r="E55" s="113">
        <v>0</v>
      </c>
      <c r="F55" s="113">
        <v>0</v>
      </c>
      <c r="G55" s="113">
        <v>0</v>
      </c>
      <c r="H55" s="113">
        <v>0</v>
      </c>
      <c r="I55" s="113">
        <v>0</v>
      </c>
      <c r="J55" s="113">
        <v>0</v>
      </c>
      <c r="K55" s="113">
        <v>0</v>
      </c>
      <c r="L55" s="113">
        <v>0</v>
      </c>
      <c r="M55" s="113">
        <v>0</v>
      </c>
    </row>
    <row r="56" spans="1:13" s="114" customFormat="1">
      <c r="A56" s="107">
        <v>1020</v>
      </c>
      <c r="B56" s="107">
        <v>1025</v>
      </c>
      <c r="C56" s="113">
        <v>0</v>
      </c>
      <c r="D56" s="113">
        <v>0</v>
      </c>
      <c r="E56" s="113">
        <v>0</v>
      </c>
      <c r="F56" s="113">
        <v>0</v>
      </c>
      <c r="G56" s="113">
        <v>0</v>
      </c>
      <c r="H56" s="113">
        <v>0</v>
      </c>
      <c r="I56" s="113">
        <v>0</v>
      </c>
      <c r="J56" s="113">
        <v>0</v>
      </c>
      <c r="K56" s="113">
        <v>0</v>
      </c>
      <c r="L56" s="113">
        <v>0</v>
      </c>
      <c r="M56" s="113">
        <v>0</v>
      </c>
    </row>
    <row r="57" spans="1:13" s="114" customFormat="1">
      <c r="A57" s="107">
        <v>1025</v>
      </c>
      <c r="B57" s="107">
        <v>1030</v>
      </c>
      <c r="C57" s="113">
        <v>0</v>
      </c>
      <c r="D57" s="113">
        <v>0</v>
      </c>
      <c r="E57" s="113">
        <v>0</v>
      </c>
      <c r="F57" s="113">
        <v>0</v>
      </c>
      <c r="G57" s="113">
        <v>0</v>
      </c>
      <c r="H57" s="113">
        <v>0</v>
      </c>
      <c r="I57" s="113">
        <v>0</v>
      </c>
      <c r="J57" s="113">
        <v>0</v>
      </c>
      <c r="K57" s="113">
        <v>0</v>
      </c>
      <c r="L57" s="113">
        <v>0</v>
      </c>
      <c r="M57" s="113">
        <v>0</v>
      </c>
    </row>
    <row r="58" spans="1:13" s="114" customFormat="1">
      <c r="A58" s="107">
        <v>1030</v>
      </c>
      <c r="B58" s="107">
        <v>1035</v>
      </c>
      <c r="C58" s="113">
        <v>0</v>
      </c>
      <c r="D58" s="113">
        <v>0</v>
      </c>
      <c r="E58" s="113">
        <v>0</v>
      </c>
      <c r="F58" s="113">
        <v>0</v>
      </c>
      <c r="G58" s="113">
        <v>0</v>
      </c>
      <c r="H58" s="113">
        <v>0</v>
      </c>
      <c r="I58" s="113">
        <v>0</v>
      </c>
      <c r="J58" s="113">
        <v>0</v>
      </c>
      <c r="K58" s="113">
        <v>0</v>
      </c>
      <c r="L58" s="113">
        <v>0</v>
      </c>
      <c r="M58" s="113">
        <v>0</v>
      </c>
    </row>
    <row r="59" spans="1:13" s="114" customFormat="1">
      <c r="A59" s="107">
        <v>1035</v>
      </c>
      <c r="B59" s="107">
        <v>1040</v>
      </c>
      <c r="C59" s="113">
        <v>0</v>
      </c>
      <c r="D59" s="113">
        <v>0</v>
      </c>
      <c r="E59" s="113">
        <v>0</v>
      </c>
      <c r="F59" s="113">
        <v>0</v>
      </c>
      <c r="G59" s="113">
        <v>0</v>
      </c>
      <c r="H59" s="113">
        <v>0</v>
      </c>
      <c r="I59" s="113">
        <v>0</v>
      </c>
      <c r="J59" s="113">
        <v>0</v>
      </c>
      <c r="K59" s="113">
        <v>0</v>
      </c>
      <c r="L59" s="113">
        <v>0</v>
      </c>
      <c r="M59" s="113">
        <v>0</v>
      </c>
    </row>
    <row r="60" spans="1:13" s="114" customFormat="1">
      <c r="A60" s="107">
        <v>1040</v>
      </c>
      <c r="B60" s="107">
        <v>1045</v>
      </c>
      <c r="C60" s="113">
        <v>0</v>
      </c>
      <c r="D60" s="113">
        <v>0</v>
      </c>
      <c r="E60" s="113">
        <v>0</v>
      </c>
      <c r="F60" s="113">
        <v>0</v>
      </c>
      <c r="G60" s="113">
        <v>0</v>
      </c>
      <c r="H60" s="113">
        <v>0</v>
      </c>
      <c r="I60" s="113">
        <v>0</v>
      </c>
      <c r="J60" s="113">
        <v>0</v>
      </c>
      <c r="K60" s="113">
        <v>0</v>
      </c>
      <c r="L60" s="113">
        <v>0</v>
      </c>
      <c r="M60" s="113">
        <v>0</v>
      </c>
    </row>
    <row r="61" spans="1:13" s="114" customFormat="1">
      <c r="A61" s="107">
        <v>1045</v>
      </c>
      <c r="B61" s="107">
        <v>1050</v>
      </c>
      <c r="C61" s="113">
        <v>0</v>
      </c>
      <c r="D61" s="113">
        <v>0</v>
      </c>
      <c r="E61" s="113">
        <v>0</v>
      </c>
      <c r="F61" s="113">
        <v>0</v>
      </c>
      <c r="G61" s="113">
        <v>0</v>
      </c>
      <c r="H61" s="113">
        <v>0</v>
      </c>
      <c r="I61" s="113">
        <v>0</v>
      </c>
      <c r="J61" s="113">
        <v>0</v>
      </c>
      <c r="K61" s="113">
        <v>0</v>
      </c>
      <c r="L61" s="113">
        <v>0</v>
      </c>
      <c r="M61" s="113">
        <v>0</v>
      </c>
    </row>
    <row r="62" spans="1:13" s="114" customFormat="1">
      <c r="A62" s="107">
        <v>1050</v>
      </c>
      <c r="B62" s="107">
        <v>1055</v>
      </c>
      <c r="C62" s="113">
        <v>0</v>
      </c>
      <c r="D62" s="113">
        <v>0</v>
      </c>
      <c r="E62" s="113">
        <v>0</v>
      </c>
      <c r="F62" s="113">
        <v>0</v>
      </c>
      <c r="G62" s="113">
        <v>0</v>
      </c>
      <c r="H62" s="113">
        <v>0</v>
      </c>
      <c r="I62" s="113">
        <v>0</v>
      </c>
      <c r="J62" s="113">
        <v>0</v>
      </c>
      <c r="K62" s="113">
        <v>0</v>
      </c>
      <c r="L62" s="113">
        <v>0</v>
      </c>
      <c r="M62" s="113">
        <v>0</v>
      </c>
    </row>
    <row r="63" spans="1:13" s="114" customFormat="1">
      <c r="A63" s="107">
        <v>1055</v>
      </c>
      <c r="B63" s="107">
        <v>1060</v>
      </c>
      <c r="C63" s="113">
        <v>0</v>
      </c>
      <c r="D63" s="113">
        <v>0</v>
      </c>
      <c r="E63" s="113">
        <v>0</v>
      </c>
      <c r="F63" s="113">
        <v>0</v>
      </c>
      <c r="G63" s="113">
        <v>0</v>
      </c>
      <c r="H63" s="113">
        <v>0</v>
      </c>
      <c r="I63" s="113">
        <v>0</v>
      </c>
      <c r="J63" s="113">
        <v>0</v>
      </c>
      <c r="K63" s="113">
        <v>0</v>
      </c>
      <c r="L63" s="113">
        <v>0</v>
      </c>
      <c r="M63" s="113">
        <v>0</v>
      </c>
    </row>
    <row r="64" spans="1:13" s="114" customFormat="1">
      <c r="A64" s="107">
        <v>1060</v>
      </c>
      <c r="B64" s="107">
        <v>1065</v>
      </c>
      <c r="C64" s="107">
        <v>1040</v>
      </c>
      <c r="D64" s="113">
        <v>0</v>
      </c>
      <c r="E64" s="113">
        <v>0</v>
      </c>
      <c r="F64" s="113">
        <v>0</v>
      </c>
      <c r="G64" s="113">
        <v>0</v>
      </c>
      <c r="H64" s="113">
        <v>0</v>
      </c>
      <c r="I64" s="113">
        <v>0</v>
      </c>
      <c r="J64" s="113">
        <v>0</v>
      </c>
      <c r="K64" s="113">
        <v>0</v>
      </c>
      <c r="L64" s="113">
        <v>0</v>
      </c>
      <c r="M64" s="113">
        <v>0</v>
      </c>
    </row>
    <row r="65" spans="1:13" s="114" customFormat="1">
      <c r="A65" s="107">
        <v>1065</v>
      </c>
      <c r="B65" s="107">
        <v>1070</v>
      </c>
      <c r="C65" s="107">
        <v>1110</v>
      </c>
      <c r="D65" s="113">
        <v>0</v>
      </c>
      <c r="E65" s="113">
        <v>0</v>
      </c>
      <c r="F65" s="113">
        <v>0</v>
      </c>
      <c r="G65" s="113">
        <v>0</v>
      </c>
      <c r="H65" s="113">
        <v>0</v>
      </c>
      <c r="I65" s="113">
        <v>0</v>
      </c>
      <c r="J65" s="113">
        <v>0</v>
      </c>
      <c r="K65" s="113">
        <v>0</v>
      </c>
      <c r="L65" s="113">
        <v>0</v>
      </c>
      <c r="M65" s="113">
        <v>0</v>
      </c>
    </row>
    <row r="66" spans="1:13" s="114" customFormat="1">
      <c r="A66" s="107">
        <v>1070</v>
      </c>
      <c r="B66" s="107">
        <v>1075</v>
      </c>
      <c r="C66" s="107">
        <v>1180</v>
      </c>
      <c r="D66" s="113">
        <v>0</v>
      </c>
      <c r="E66" s="113">
        <v>0</v>
      </c>
      <c r="F66" s="113">
        <v>0</v>
      </c>
      <c r="G66" s="113">
        <v>0</v>
      </c>
      <c r="H66" s="113">
        <v>0</v>
      </c>
      <c r="I66" s="113">
        <v>0</v>
      </c>
      <c r="J66" s="113">
        <v>0</v>
      </c>
      <c r="K66" s="113">
        <v>0</v>
      </c>
      <c r="L66" s="113">
        <v>0</v>
      </c>
      <c r="M66" s="113">
        <v>0</v>
      </c>
    </row>
    <row r="67" spans="1:13" s="114" customFormat="1">
      <c r="A67" s="107">
        <v>1075</v>
      </c>
      <c r="B67" s="107">
        <v>1080</v>
      </c>
      <c r="C67" s="107">
        <v>1250</v>
      </c>
      <c r="D67" s="113">
        <v>0</v>
      </c>
      <c r="E67" s="113">
        <v>0</v>
      </c>
      <c r="F67" s="113">
        <v>0</v>
      </c>
      <c r="G67" s="113">
        <v>0</v>
      </c>
      <c r="H67" s="113">
        <v>0</v>
      </c>
      <c r="I67" s="113">
        <v>0</v>
      </c>
      <c r="J67" s="113">
        <v>0</v>
      </c>
      <c r="K67" s="113">
        <v>0</v>
      </c>
      <c r="L67" s="113">
        <v>0</v>
      </c>
      <c r="M67" s="113">
        <v>0</v>
      </c>
    </row>
    <row r="68" spans="1:13" s="114" customFormat="1">
      <c r="A68" s="107">
        <v>1080</v>
      </c>
      <c r="B68" s="107">
        <v>1085</v>
      </c>
      <c r="C68" s="107">
        <v>1320</v>
      </c>
      <c r="D68" s="113">
        <v>0</v>
      </c>
      <c r="E68" s="113">
        <v>0</v>
      </c>
      <c r="F68" s="113">
        <v>0</v>
      </c>
      <c r="G68" s="113">
        <v>0</v>
      </c>
      <c r="H68" s="113">
        <v>0</v>
      </c>
      <c r="I68" s="113">
        <v>0</v>
      </c>
      <c r="J68" s="113">
        <v>0</v>
      </c>
      <c r="K68" s="113">
        <v>0</v>
      </c>
      <c r="L68" s="113">
        <v>0</v>
      </c>
      <c r="M68" s="113">
        <v>0</v>
      </c>
    </row>
    <row r="69" spans="1:13" s="114" customFormat="1">
      <c r="A69" s="107">
        <v>1085</v>
      </c>
      <c r="B69" s="107">
        <v>1090</v>
      </c>
      <c r="C69" s="107">
        <v>1390</v>
      </c>
      <c r="D69" s="113">
        <v>0</v>
      </c>
      <c r="E69" s="113">
        <v>0</v>
      </c>
      <c r="F69" s="113">
        <v>0</v>
      </c>
      <c r="G69" s="113">
        <v>0</v>
      </c>
      <c r="H69" s="113">
        <v>0</v>
      </c>
      <c r="I69" s="113">
        <v>0</v>
      </c>
      <c r="J69" s="113">
        <v>0</v>
      </c>
      <c r="K69" s="113">
        <v>0</v>
      </c>
      <c r="L69" s="113">
        <v>0</v>
      </c>
      <c r="M69" s="113">
        <v>0</v>
      </c>
    </row>
    <row r="70" spans="1:13" s="114" customFormat="1">
      <c r="A70" s="107">
        <v>1090</v>
      </c>
      <c r="B70" s="107">
        <v>1095</v>
      </c>
      <c r="C70" s="107">
        <v>1460</v>
      </c>
      <c r="D70" s="113">
        <v>0</v>
      </c>
      <c r="E70" s="113">
        <v>0</v>
      </c>
      <c r="F70" s="113">
        <v>0</v>
      </c>
      <c r="G70" s="113">
        <v>0</v>
      </c>
      <c r="H70" s="113">
        <v>0</v>
      </c>
      <c r="I70" s="113">
        <v>0</v>
      </c>
      <c r="J70" s="113">
        <v>0</v>
      </c>
      <c r="K70" s="113">
        <v>0</v>
      </c>
      <c r="L70" s="113">
        <v>0</v>
      </c>
      <c r="M70" s="113">
        <v>0</v>
      </c>
    </row>
    <row r="71" spans="1:13" s="114" customFormat="1">
      <c r="A71" s="107">
        <v>1095</v>
      </c>
      <c r="B71" s="107">
        <v>1100</v>
      </c>
      <c r="C71" s="107">
        <v>1530</v>
      </c>
      <c r="D71" s="113">
        <v>0</v>
      </c>
      <c r="E71" s="113">
        <v>0</v>
      </c>
      <c r="F71" s="113">
        <v>0</v>
      </c>
      <c r="G71" s="113">
        <v>0</v>
      </c>
      <c r="H71" s="113">
        <v>0</v>
      </c>
      <c r="I71" s="113">
        <v>0</v>
      </c>
      <c r="J71" s="113">
        <v>0</v>
      </c>
      <c r="K71" s="113">
        <v>0</v>
      </c>
      <c r="L71" s="113">
        <v>0</v>
      </c>
      <c r="M71" s="113">
        <v>0</v>
      </c>
    </row>
    <row r="72" spans="1:13" s="114" customFormat="1">
      <c r="A72" s="107">
        <v>1100</v>
      </c>
      <c r="B72" s="107">
        <v>1105</v>
      </c>
      <c r="C72" s="107">
        <v>1600</v>
      </c>
      <c r="D72" s="113">
        <v>0</v>
      </c>
      <c r="E72" s="113">
        <v>0</v>
      </c>
      <c r="F72" s="113">
        <v>0</v>
      </c>
      <c r="G72" s="113">
        <v>0</v>
      </c>
      <c r="H72" s="113">
        <v>0</v>
      </c>
      <c r="I72" s="113">
        <v>0</v>
      </c>
      <c r="J72" s="113">
        <v>0</v>
      </c>
      <c r="K72" s="113">
        <v>0</v>
      </c>
      <c r="L72" s="113">
        <v>0</v>
      </c>
      <c r="M72" s="113">
        <v>0</v>
      </c>
    </row>
    <row r="73" spans="1:13" s="114" customFormat="1">
      <c r="A73" s="107">
        <v>1105</v>
      </c>
      <c r="B73" s="107">
        <v>1110</v>
      </c>
      <c r="C73" s="107">
        <v>1670</v>
      </c>
      <c r="D73" s="113">
        <v>0</v>
      </c>
      <c r="E73" s="113">
        <v>0</v>
      </c>
      <c r="F73" s="113">
        <v>0</v>
      </c>
      <c r="G73" s="113">
        <v>0</v>
      </c>
      <c r="H73" s="113">
        <v>0</v>
      </c>
      <c r="I73" s="113">
        <v>0</v>
      </c>
      <c r="J73" s="113">
        <v>0</v>
      </c>
      <c r="K73" s="113">
        <v>0</v>
      </c>
      <c r="L73" s="113">
        <v>0</v>
      </c>
      <c r="M73" s="113">
        <v>0</v>
      </c>
    </row>
    <row r="74" spans="1:13" s="114" customFormat="1">
      <c r="A74" s="107">
        <v>1110</v>
      </c>
      <c r="B74" s="107">
        <v>1115</v>
      </c>
      <c r="C74" s="107">
        <v>1740</v>
      </c>
      <c r="D74" s="113">
        <v>0</v>
      </c>
      <c r="E74" s="113">
        <v>0</v>
      </c>
      <c r="F74" s="113">
        <v>0</v>
      </c>
      <c r="G74" s="113">
        <v>0</v>
      </c>
      <c r="H74" s="113">
        <v>0</v>
      </c>
      <c r="I74" s="113">
        <v>0</v>
      </c>
      <c r="J74" s="113">
        <v>0</v>
      </c>
      <c r="K74" s="113">
        <v>0</v>
      </c>
      <c r="L74" s="113">
        <v>0</v>
      </c>
      <c r="M74" s="113">
        <v>0</v>
      </c>
    </row>
    <row r="75" spans="1:13" s="114" customFormat="1">
      <c r="A75" s="107">
        <v>1115</v>
      </c>
      <c r="B75" s="107">
        <v>1120</v>
      </c>
      <c r="C75" s="107">
        <v>1810</v>
      </c>
      <c r="D75" s="113">
        <v>0</v>
      </c>
      <c r="E75" s="113">
        <v>0</v>
      </c>
      <c r="F75" s="113">
        <v>0</v>
      </c>
      <c r="G75" s="113">
        <v>0</v>
      </c>
      <c r="H75" s="113">
        <v>0</v>
      </c>
      <c r="I75" s="113">
        <v>0</v>
      </c>
      <c r="J75" s="113">
        <v>0</v>
      </c>
      <c r="K75" s="113">
        <v>0</v>
      </c>
      <c r="L75" s="113">
        <v>0</v>
      </c>
      <c r="M75" s="113">
        <v>0</v>
      </c>
    </row>
    <row r="76" spans="1:13" s="114" customFormat="1">
      <c r="A76" s="107">
        <v>1120</v>
      </c>
      <c r="B76" s="107">
        <v>1125</v>
      </c>
      <c r="C76" s="107">
        <v>1880</v>
      </c>
      <c r="D76" s="113">
        <v>0</v>
      </c>
      <c r="E76" s="113">
        <v>0</v>
      </c>
      <c r="F76" s="113">
        <v>0</v>
      </c>
      <c r="G76" s="113">
        <v>0</v>
      </c>
      <c r="H76" s="113">
        <v>0</v>
      </c>
      <c r="I76" s="113">
        <v>0</v>
      </c>
      <c r="J76" s="113">
        <v>0</v>
      </c>
      <c r="K76" s="113">
        <v>0</v>
      </c>
      <c r="L76" s="113">
        <v>0</v>
      </c>
      <c r="M76" s="113">
        <v>0</v>
      </c>
    </row>
    <row r="77" spans="1:13" s="114" customFormat="1">
      <c r="A77" s="107">
        <v>1125</v>
      </c>
      <c r="B77" s="107">
        <v>1130</v>
      </c>
      <c r="C77" s="107">
        <v>1950</v>
      </c>
      <c r="D77" s="113">
        <v>0</v>
      </c>
      <c r="E77" s="113">
        <v>0</v>
      </c>
      <c r="F77" s="113">
        <v>0</v>
      </c>
      <c r="G77" s="113">
        <v>0</v>
      </c>
      <c r="H77" s="113">
        <v>0</v>
      </c>
      <c r="I77" s="113">
        <v>0</v>
      </c>
      <c r="J77" s="113">
        <v>0</v>
      </c>
      <c r="K77" s="113">
        <v>0</v>
      </c>
      <c r="L77" s="113">
        <v>0</v>
      </c>
      <c r="M77" s="113">
        <v>0</v>
      </c>
    </row>
    <row r="78" spans="1:13" s="114" customFormat="1">
      <c r="A78" s="107">
        <v>1130</v>
      </c>
      <c r="B78" s="107">
        <v>1135</v>
      </c>
      <c r="C78" s="107">
        <v>2020</v>
      </c>
      <c r="D78" s="113">
        <v>0</v>
      </c>
      <c r="E78" s="113">
        <v>0</v>
      </c>
      <c r="F78" s="113">
        <v>0</v>
      </c>
      <c r="G78" s="113">
        <v>0</v>
      </c>
      <c r="H78" s="113">
        <v>0</v>
      </c>
      <c r="I78" s="113">
        <v>0</v>
      </c>
      <c r="J78" s="113">
        <v>0</v>
      </c>
      <c r="K78" s="113">
        <v>0</v>
      </c>
      <c r="L78" s="113">
        <v>0</v>
      </c>
      <c r="M78" s="113">
        <v>0</v>
      </c>
    </row>
    <row r="79" spans="1:13" s="114" customFormat="1">
      <c r="A79" s="107">
        <v>1135</v>
      </c>
      <c r="B79" s="107">
        <v>1140</v>
      </c>
      <c r="C79" s="107">
        <v>2090</v>
      </c>
      <c r="D79" s="113">
        <v>0</v>
      </c>
      <c r="E79" s="113">
        <v>0</v>
      </c>
      <c r="F79" s="113">
        <v>0</v>
      </c>
      <c r="G79" s="113">
        <v>0</v>
      </c>
      <c r="H79" s="113">
        <v>0</v>
      </c>
      <c r="I79" s="113">
        <v>0</v>
      </c>
      <c r="J79" s="113">
        <v>0</v>
      </c>
      <c r="K79" s="113">
        <v>0</v>
      </c>
      <c r="L79" s="113">
        <v>0</v>
      </c>
      <c r="M79" s="113">
        <v>0</v>
      </c>
    </row>
    <row r="80" spans="1:13" s="114" customFormat="1">
      <c r="A80" s="107">
        <v>1140</v>
      </c>
      <c r="B80" s="107">
        <v>1145</v>
      </c>
      <c r="C80" s="107">
        <v>2160</v>
      </c>
      <c r="D80" s="113">
        <v>0</v>
      </c>
      <c r="E80" s="113">
        <v>0</v>
      </c>
      <c r="F80" s="113">
        <v>0</v>
      </c>
      <c r="G80" s="113">
        <v>0</v>
      </c>
      <c r="H80" s="113">
        <v>0</v>
      </c>
      <c r="I80" s="113">
        <v>0</v>
      </c>
      <c r="J80" s="113">
        <v>0</v>
      </c>
      <c r="K80" s="113">
        <v>0</v>
      </c>
      <c r="L80" s="113">
        <v>0</v>
      </c>
      <c r="M80" s="113">
        <v>0</v>
      </c>
    </row>
    <row r="81" spans="1:13" s="114" customFormat="1">
      <c r="A81" s="107">
        <v>1145</v>
      </c>
      <c r="B81" s="107">
        <v>1150</v>
      </c>
      <c r="C81" s="107">
        <v>2230</v>
      </c>
      <c r="D81" s="113">
        <v>0</v>
      </c>
      <c r="E81" s="113">
        <v>0</v>
      </c>
      <c r="F81" s="113">
        <v>0</v>
      </c>
      <c r="G81" s="113">
        <v>0</v>
      </c>
      <c r="H81" s="113">
        <v>0</v>
      </c>
      <c r="I81" s="113">
        <v>0</v>
      </c>
      <c r="J81" s="113">
        <v>0</v>
      </c>
      <c r="K81" s="113">
        <v>0</v>
      </c>
      <c r="L81" s="113">
        <v>0</v>
      </c>
      <c r="M81" s="113">
        <v>0</v>
      </c>
    </row>
    <row r="82" spans="1:13" s="114" customFormat="1">
      <c r="A82" s="107">
        <v>1150</v>
      </c>
      <c r="B82" s="107">
        <v>1155</v>
      </c>
      <c r="C82" s="107">
        <v>2300</v>
      </c>
      <c r="D82" s="113">
        <v>0</v>
      </c>
      <c r="E82" s="113">
        <v>0</v>
      </c>
      <c r="F82" s="113">
        <v>0</v>
      </c>
      <c r="G82" s="113">
        <v>0</v>
      </c>
      <c r="H82" s="113">
        <v>0</v>
      </c>
      <c r="I82" s="113">
        <v>0</v>
      </c>
      <c r="J82" s="113">
        <v>0</v>
      </c>
      <c r="K82" s="113">
        <v>0</v>
      </c>
      <c r="L82" s="113">
        <v>0</v>
      </c>
      <c r="M82" s="113">
        <v>0</v>
      </c>
    </row>
    <row r="83" spans="1:13" s="114" customFormat="1">
      <c r="A83" s="107">
        <v>1155</v>
      </c>
      <c r="B83" s="107">
        <v>1160</v>
      </c>
      <c r="C83" s="107">
        <v>2370</v>
      </c>
      <c r="D83" s="113">
        <v>0</v>
      </c>
      <c r="E83" s="113">
        <v>0</v>
      </c>
      <c r="F83" s="113">
        <v>0</v>
      </c>
      <c r="G83" s="113">
        <v>0</v>
      </c>
      <c r="H83" s="113">
        <v>0</v>
      </c>
      <c r="I83" s="113">
        <v>0</v>
      </c>
      <c r="J83" s="113">
        <v>0</v>
      </c>
      <c r="K83" s="113">
        <v>0</v>
      </c>
      <c r="L83" s="113">
        <v>0</v>
      </c>
      <c r="M83" s="113">
        <v>0</v>
      </c>
    </row>
    <row r="84" spans="1:13" s="114" customFormat="1">
      <c r="A84" s="107">
        <v>1160</v>
      </c>
      <c r="B84" s="107">
        <v>1165</v>
      </c>
      <c r="C84" s="107">
        <v>2440</v>
      </c>
      <c r="D84" s="113">
        <v>0</v>
      </c>
      <c r="E84" s="113">
        <v>0</v>
      </c>
      <c r="F84" s="113">
        <v>0</v>
      </c>
      <c r="G84" s="113">
        <v>0</v>
      </c>
      <c r="H84" s="113">
        <v>0</v>
      </c>
      <c r="I84" s="113">
        <v>0</v>
      </c>
      <c r="J84" s="113">
        <v>0</v>
      </c>
      <c r="K84" s="113">
        <v>0</v>
      </c>
      <c r="L84" s="113">
        <v>0</v>
      </c>
      <c r="M84" s="113">
        <v>0</v>
      </c>
    </row>
    <row r="85" spans="1:13" s="114" customFormat="1">
      <c r="A85" s="107">
        <v>1165</v>
      </c>
      <c r="B85" s="107">
        <v>1170</v>
      </c>
      <c r="C85" s="107">
        <v>2500</v>
      </c>
      <c r="D85" s="113">
        <v>0</v>
      </c>
      <c r="E85" s="113">
        <v>0</v>
      </c>
      <c r="F85" s="113">
        <v>0</v>
      </c>
      <c r="G85" s="113">
        <v>0</v>
      </c>
      <c r="H85" s="113">
        <v>0</v>
      </c>
      <c r="I85" s="113">
        <v>0</v>
      </c>
      <c r="J85" s="113">
        <v>0</v>
      </c>
      <c r="K85" s="113">
        <v>0</v>
      </c>
      <c r="L85" s="113">
        <v>0</v>
      </c>
      <c r="M85" s="113">
        <v>0</v>
      </c>
    </row>
    <row r="86" spans="1:13" s="114" customFormat="1">
      <c r="A86" s="107">
        <v>1170</v>
      </c>
      <c r="B86" s="107">
        <v>1175</v>
      </c>
      <c r="C86" s="107">
        <v>2570</v>
      </c>
      <c r="D86" s="113">
        <v>0</v>
      </c>
      <c r="E86" s="113">
        <v>0</v>
      </c>
      <c r="F86" s="113">
        <v>0</v>
      </c>
      <c r="G86" s="113">
        <v>0</v>
      </c>
      <c r="H86" s="113">
        <v>0</v>
      </c>
      <c r="I86" s="113">
        <v>0</v>
      </c>
      <c r="J86" s="113">
        <v>0</v>
      </c>
      <c r="K86" s="113">
        <v>0</v>
      </c>
      <c r="L86" s="113">
        <v>0</v>
      </c>
      <c r="M86" s="113">
        <v>0</v>
      </c>
    </row>
    <row r="87" spans="1:13" s="114" customFormat="1">
      <c r="A87" s="107">
        <v>1175</v>
      </c>
      <c r="B87" s="107">
        <v>1180</v>
      </c>
      <c r="C87" s="107">
        <v>2640</v>
      </c>
      <c r="D87" s="113">
        <v>0</v>
      </c>
      <c r="E87" s="113">
        <v>0</v>
      </c>
      <c r="F87" s="113">
        <v>0</v>
      </c>
      <c r="G87" s="113">
        <v>0</v>
      </c>
      <c r="H87" s="113">
        <v>0</v>
      </c>
      <c r="I87" s="113">
        <v>0</v>
      </c>
      <c r="J87" s="113">
        <v>0</v>
      </c>
      <c r="K87" s="113">
        <v>0</v>
      </c>
      <c r="L87" s="113">
        <v>0</v>
      </c>
      <c r="M87" s="113">
        <v>0</v>
      </c>
    </row>
    <row r="88" spans="1:13" s="114" customFormat="1">
      <c r="A88" s="107">
        <v>1180</v>
      </c>
      <c r="B88" s="107">
        <v>1185</v>
      </c>
      <c r="C88" s="107">
        <v>2710</v>
      </c>
      <c r="D88" s="113">
        <v>0</v>
      </c>
      <c r="E88" s="113">
        <v>0</v>
      </c>
      <c r="F88" s="113">
        <v>0</v>
      </c>
      <c r="G88" s="113">
        <v>0</v>
      </c>
      <c r="H88" s="113">
        <v>0</v>
      </c>
      <c r="I88" s="113">
        <v>0</v>
      </c>
      <c r="J88" s="113">
        <v>0</v>
      </c>
      <c r="K88" s="113">
        <v>0</v>
      </c>
      <c r="L88" s="113">
        <v>0</v>
      </c>
      <c r="M88" s="113">
        <v>0</v>
      </c>
    </row>
    <row r="89" spans="1:13" s="114" customFormat="1">
      <c r="A89" s="107">
        <v>1185</v>
      </c>
      <c r="B89" s="107">
        <v>1190</v>
      </c>
      <c r="C89" s="107">
        <v>2780</v>
      </c>
      <c r="D89" s="113">
        <v>0</v>
      </c>
      <c r="E89" s="113">
        <v>0</v>
      </c>
      <c r="F89" s="113">
        <v>0</v>
      </c>
      <c r="G89" s="113">
        <v>0</v>
      </c>
      <c r="H89" s="113">
        <v>0</v>
      </c>
      <c r="I89" s="113">
        <v>0</v>
      </c>
      <c r="J89" s="113">
        <v>0</v>
      </c>
      <c r="K89" s="113">
        <v>0</v>
      </c>
      <c r="L89" s="113">
        <v>0</v>
      </c>
      <c r="M89" s="113">
        <v>0</v>
      </c>
    </row>
    <row r="90" spans="1:13" s="114" customFormat="1">
      <c r="A90" s="107">
        <v>1190</v>
      </c>
      <c r="B90" s="107">
        <v>1195</v>
      </c>
      <c r="C90" s="107">
        <v>2850</v>
      </c>
      <c r="D90" s="113">
        <v>0</v>
      </c>
      <c r="E90" s="113">
        <v>0</v>
      </c>
      <c r="F90" s="113">
        <v>0</v>
      </c>
      <c r="G90" s="113">
        <v>0</v>
      </c>
      <c r="H90" s="113">
        <v>0</v>
      </c>
      <c r="I90" s="113">
        <v>0</v>
      </c>
      <c r="J90" s="113">
        <v>0</v>
      </c>
      <c r="K90" s="113">
        <v>0</v>
      </c>
      <c r="L90" s="113">
        <v>0</v>
      </c>
      <c r="M90" s="113">
        <v>0</v>
      </c>
    </row>
    <row r="91" spans="1:13" s="114" customFormat="1">
      <c r="A91" s="107">
        <v>1195</v>
      </c>
      <c r="B91" s="107">
        <v>1200</v>
      </c>
      <c r="C91" s="107">
        <v>2920</v>
      </c>
      <c r="D91" s="113">
        <v>0</v>
      </c>
      <c r="E91" s="113">
        <v>0</v>
      </c>
      <c r="F91" s="113">
        <v>0</v>
      </c>
      <c r="G91" s="113">
        <v>0</v>
      </c>
      <c r="H91" s="113">
        <v>0</v>
      </c>
      <c r="I91" s="113">
        <v>0</v>
      </c>
      <c r="J91" s="113">
        <v>0</v>
      </c>
      <c r="K91" s="113">
        <v>0</v>
      </c>
      <c r="L91" s="113">
        <v>0</v>
      </c>
      <c r="M91" s="113">
        <v>0</v>
      </c>
    </row>
    <row r="92" spans="1:13" s="114" customFormat="1">
      <c r="A92" s="107">
        <v>1200</v>
      </c>
      <c r="B92" s="107">
        <v>1205</v>
      </c>
      <c r="C92" s="107">
        <v>2990</v>
      </c>
      <c r="D92" s="113">
        <v>0</v>
      </c>
      <c r="E92" s="113">
        <v>0</v>
      </c>
      <c r="F92" s="113">
        <v>0</v>
      </c>
      <c r="G92" s="113">
        <v>0</v>
      </c>
      <c r="H92" s="113">
        <v>0</v>
      </c>
      <c r="I92" s="113">
        <v>0</v>
      </c>
      <c r="J92" s="113">
        <v>0</v>
      </c>
      <c r="K92" s="113">
        <v>0</v>
      </c>
      <c r="L92" s="113">
        <v>0</v>
      </c>
      <c r="M92" s="113">
        <v>0</v>
      </c>
    </row>
    <row r="93" spans="1:13" s="114" customFormat="1">
      <c r="A93" s="107">
        <v>1205</v>
      </c>
      <c r="B93" s="107">
        <v>1210</v>
      </c>
      <c r="C93" s="107">
        <v>3060</v>
      </c>
      <c r="D93" s="113">
        <v>0</v>
      </c>
      <c r="E93" s="113">
        <v>0</v>
      </c>
      <c r="F93" s="113">
        <v>0</v>
      </c>
      <c r="G93" s="113">
        <v>0</v>
      </c>
      <c r="H93" s="113">
        <v>0</v>
      </c>
      <c r="I93" s="113">
        <v>0</v>
      </c>
      <c r="J93" s="113">
        <v>0</v>
      </c>
      <c r="K93" s="113">
        <v>0</v>
      </c>
      <c r="L93" s="113">
        <v>0</v>
      </c>
      <c r="M93" s="113">
        <v>0</v>
      </c>
    </row>
    <row r="94" spans="1:13" s="114" customFormat="1">
      <c r="A94" s="107">
        <v>1210</v>
      </c>
      <c r="B94" s="107">
        <v>1215</v>
      </c>
      <c r="C94" s="107">
        <v>3130</v>
      </c>
      <c r="D94" s="113">
        <v>0</v>
      </c>
      <c r="E94" s="113">
        <v>0</v>
      </c>
      <c r="F94" s="113">
        <v>0</v>
      </c>
      <c r="G94" s="113">
        <v>0</v>
      </c>
      <c r="H94" s="113">
        <v>0</v>
      </c>
      <c r="I94" s="113">
        <v>0</v>
      </c>
      <c r="J94" s="113">
        <v>0</v>
      </c>
      <c r="K94" s="113">
        <v>0</v>
      </c>
      <c r="L94" s="113">
        <v>0</v>
      </c>
      <c r="M94" s="113">
        <v>0</v>
      </c>
    </row>
    <row r="95" spans="1:13" s="114" customFormat="1">
      <c r="A95" s="107">
        <v>1215</v>
      </c>
      <c r="B95" s="107">
        <v>1220</v>
      </c>
      <c r="C95" s="107">
        <v>3200</v>
      </c>
      <c r="D95" s="113">
        <v>0</v>
      </c>
      <c r="E95" s="113">
        <v>0</v>
      </c>
      <c r="F95" s="113">
        <v>0</v>
      </c>
      <c r="G95" s="113">
        <v>0</v>
      </c>
      <c r="H95" s="113">
        <v>0</v>
      </c>
      <c r="I95" s="113">
        <v>0</v>
      </c>
      <c r="J95" s="113">
        <v>0</v>
      </c>
      <c r="K95" s="113">
        <v>0</v>
      </c>
      <c r="L95" s="113">
        <v>0</v>
      </c>
      <c r="M95" s="113">
        <v>0</v>
      </c>
    </row>
    <row r="96" spans="1:13" s="114" customFormat="1">
      <c r="A96" s="107">
        <v>1220</v>
      </c>
      <c r="B96" s="107">
        <v>1225</v>
      </c>
      <c r="C96" s="107">
        <v>3270</v>
      </c>
      <c r="D96" s="113">
        <v>0</v>
      </c>
      <c r="E96" s="113">
        <v>0</v>
      </c>
      <c r="F96" s="113">
        <v>0</v>
      </c>
      <c r="G96" s="113">
        <v>0</v>
      </c>
      <c r="H96" s="113">
        <v>0</v>
      </c>
      <c r="I96" s="113">
        <v>0</v>
      </c>
      <c r="J96" s="113">
        <v>0</v>
      </c>
      <c r="K96" s="113">
        <v>0</v>
      </c>
      <c r="L96" s="113">
        <v>0</v>
      </c>
      <c r="M96" s="113">
        <v>0</v>
      </c>
    </row>
    <row r="97" spans="1:13" s="114" customFormat="1">
      <c r="A97" s="107">
        <v>1225</v>
      </c>
      <c r="B97" s="107">
        <v>1230</v>
      </c>
      <c r="C97" s="107">
        <v>3340</v>
      </c>
      <c r="D97" s="113">
        <v>0</v>
      </c>
      <c r="E97" s="113">
        <v>0</v>
      </c>
      <c r="F97" s="113">
        <v>0</v>
      </c>
      <c r="G97" s="113">
        <v>0</v>
      </c>
      <c r="H97" s="113">
        <v>0</v>
      </c>
      <c r="I97" s="113">
        <v>0</v>
      </c>
      <c r="J97" s="113">
        <v>0</v>
      </c>
      <c r="K97" s="113">
        <v>0</v>
      </c>
      <c r="L97" s="113">
        <v>0</v>
      </c>
      <c r="M97" s="113">
        <v>0</v>
      </c>
    </row>
    <row r="98" spans="1:13" s="114" customFormat="1">
      <c r="A98" s="107">
        <v>1230</v>
      </c>
      <c r="B98" s="107">
        <v>1235</v>
      </c>
      <c r="C98" s="107">
        <v>3410</v>
      </c>
      <c r="D98" s="113">
        <v>0</v>
      </c>
      <c r="E98" s="113">
        <v>0</v>
      </c>
      <c r="F98" s="113">
        <v>0</v>
      </c>
      <c r="G98" s="113">
        <v>0</v>
      </c>
      <c r="H98" s="113">
        <v>0</v>
      </c>
      <c r="I98" s="113">
        <v>0</v>
      </c>
      <c r="J98" s="113">
        <v>0</v>
      </c>
      <c r="K98" s="113">
        <v>0</v>
      </c>
      <c r="L98" s="113">
        <v>0</v>
      </c>
      <c r="M98" s="113">
        <v>0</v>
      </c>
    </row>
    <row r="99" spans="1:13" s="114" customFormat="1">
      <c r="A99" s="107">
        <v>1235</v>
      </c>
      <c r="B99" s="107">
        <v>1240</v>
      </c>
      <c r="C99" s="107">
        <v>3480</v>
      </c>
      <c r="D99" s="113">
        <v>0</v>
      </c>
      <c r="E99" s="113">
        <v>0</v>
      </c>
      <c r="F99" s="113">
        <v>0</v>
      </c>
      <c r="G99" s="113">
        <v>0</v>
      </c>
      <c r="H99" s="113">
        <v>0</v>
      </c>
      <c r="I99" s="113">
        <v>0</v>
      </c>
      <c r="J99" s="113">
        <v>0</v>
      </c>
      <c r="K99" s="113">
        <v>0</v>
      </c>
      <c r="L99" s="113">
        <v>0</v>
      </c>
      <c r="M99" s="113">
        <v>0</v>
      </c>
    </row>
    <row r="100" spans="1:13" s="114" customFormat="1">
      <c r="A100" s="107">
        <v>1240</v>
      </c>
      <c r="B100" s="107">
        <v>1245</v>
      </c>
      <c r="C100" s="107">
        <v>3550</v>
      </c>
      <c r="D100" s="113">
        <v>0</v>
      </c>
      <c r="E100" s="113">
        <v>0</v>
      </c>
      <c r="F100" s="113">
        <v>0</v>
      </c>
      <c r="G100" s="113">
        <v>0</v>
      </c>
      <c r="H100" s="113">
        <v>0</v>
      </c>
      <c r="I100" s="113">
        <v>0</v>
      </c>
      <c r="J100" s="113">
        <v>0</v>
      </c>
      <c r="K100" s="113">
        <v>0</v>
      </c>
      <c r="L100" s="113">
        <v>0</v>
      </c>
      <c r="M100" s="113">
        <v>0</v>
      </c>
    </row>
    <row r="101" spans="1:13" s="114" customFormat="1">
      <c r="A101" s="107">
        <v>1245</v>
      </c>
      <c r="B101" s="107">
        <v>1250</v>
      </c>
      <c r="C101" s="107">
        <v>3620</v>
      </c>
      <c r="D101" s="113">
        <v>0</v>
      </c>
      <c r="E101" s="113">
        <v>0</v>
      </c>
      <c r="F101" s="113">
        <v>0</v>
      </c>
      <c r="G101" s="113">
        <v>0</v>
      </c>
      <c r="H101" s="113">
        <v>0</v>
      </c>
      <c r="I101" s="113">
        <v>0</v>
      </c>
      <c r="J101" s="113">
        <v>0</v>
      </c>
      <c r="K101" s="113">
        <v>0</v>
      </c>
      <c r="L101" s="113">
        <v>0</v>
      </c>
      <c r="M101" s="113">
        <v>0</v>
      </c>
    </row>
    <row r="102" spans="1:13" s="114" customFormat="1">
      <c r="A102" s="107">
        <v>1250</v>
      </c>
      <c r="B102" s="107">
        <v>1255</v>
      </c>
      <c r="C102" s="107">
        <v>3700</v>
      </c>
      <c r="D102" s="113">
        <v>0</v>
      </c>
      <c r="E102" s="113">
        <v>0</v>
      </c>
      <c r="F102" s="113">
        <v>0</v>
      </c>
      <c r="G102" s="113">
        <v>0</v>
      </c>
      <c r="H102" s="113">
        <v>0</v>
      </c>
      <c r="I102" s="113">
        <v>0</v>
      </c>
      <c r="J102" s="113">
        <v>0</v>
      </c>
      <c r="K102" s="113">
        <v>0</v>
      </c>
      <c r="L102" s="113">
        <v>0</v>
      </c>
      <c r="M102" s="113">
        <v>0</v>
      </c>
    </row>
    <row r="103" spans="1:13" s="114" customFormat="1">
      <c r="A103" s="107">
        <v>1255</v>
      </c>
      <c r="B103" s="107">
        <v>1260</v>
      </c>
      <c r="C103" s="107">
        <v>3810</v>
      </c>
      <c r="D103" s="113">
        <v>0</v>
      </c>
      <c r="E103" s="113">
        <v>0</v>
      </c>
      <c r="F103" s="113">
        <v>0</v>
      </c>
      <c r="G103" s="113">
        <v>0</v>
      </c>
      <c r="H103" s="113">
        <v>0</v>
      </c>
      <c r="I103" s="113">
        <v>0</v>
      </c>
      <c r="J103" s="113">
        <v>0</v>
      </c>
      <c r="K103" s="113">
        <v>0</v>
      </c>
      <c r="L103" s="113">
        <v>0</v>
      </c>
      <c r="M103" s="113">
        <v>0</v>
      </c>
    </row>
    <row r="104" spans="1:13" s="114" customFormat="1">
      <c r="A104" s="107">
        <v>1260</v>
      </c>
      <c r="B104" s="107">
        <v>1265</v>
      </c>
      <c r="C104" s="107">
        <v>3910</v>
      </c>
      <c r="D104" s="113">
        <v>0</v>
      </c>
      <c r="E104" s="113">
        <v>0</v>
      </c>
      <c r="F104" s="113">
        <v>0</v>
      </c>
      <c r="G104" s="113">
        <v>0</v>
      </c>
      <c r="H104" s="113">
        <v>0</v>
      </c>
      <c r="I104" s="113">
        <v>0</v>
      </c>
      <c r="J104" s="113">
        <v>0</v>
      </c>
      <c r="K104" s="113">
        <v>0</v>
      </c>
      <c r="L104" s="113">
        <v>0</v>
      </c>
      <c r="M104" s="113">
        <v>0</v>
      </c>
    </row>
    <row r="105" spans="1:13" s="114" customFormat="1">
      <c r="A105" s="107">
        <v>1265</v>
      </c>
      <c r="B105" s="107">
        <v>1270</v>
      </c>
      <c r="C105" s="107">
        <v>4010</v>
      </c>
      <c r="D105" s="113">
        <v>0</v>
      </c>
      <c r="E105" s="113">
        <v>0</v>
      </c>
      <c r="F105" s="113">
        <v>0</v>
      </c>
      <c r="G105" s="113">
        <v>0</v>
      </c>
      <c r="H105" s="113">
        <v>0</v>
      </c>
      <c r="I105" s="113">
        <v>0</v>
      </c>
      <c r="J105" s="113">
        <v>0</v>
      </c>
      <c r="K105" s="113">
        <v>0</v>
      </c>
      <c r="L105" s="113">
        <v>0</v>
      </c>
      <c r="M105" s="113">
        <v>0</v>
      </c>
    </row>
    <row r="106" spans="1:13" s="114" customFormat="1">
      <c r="A106" s="107">
        <v>1270</v>
      </c>
      <c r="B106" s="107">
        <v>1275</v>
      </c>
      <c r="C106" s="107">
        <v>4120</v>
      </c>
      <c r="D106" s="113">
        <v>0</v>
      </c>
      <c r="E106" s="113">
        <v>0</v>
      </c>
      <c r="F106" s="113">
        <v>0</v>
      </c>
      <c r="G106" s="113">
        <v>0</v>
      </c>
      <c r="H106" s="113">
        <v>0</v>
      </c>
      <c r="I106" s="113">
        <v>0</v>
      </c>
      <c r="J106" s="113">
        <v>0</v>
      </c>
      <c r="K106" s="113">
        <v>0</v>
      </c>
      <c r="L106" s="113">
        <v>0</v>
      </c>
      <c r="M106" s="113">
        <v>0</v>
      </c>
    </row>
    <row r="107" spans="1:13" s="114" customFormat="1">
      <c r="A107" s="107">
        <v>1275</v>
      </c>
      <c r="B107" s="107">
        <v>1280</v>
      </c>
      <c r="C107" s="107">
        <v>4220</v>
      </c>
      <c r="D107" s="113">
        <v>0</v>
      </c>
      <c r="E107" s="113">
        <v>0</v>
      </c>
      <c r="F107" s="113">
        <v>0</v>
      </c>
      <c r="G107" s="113">
        <v>0</v>
      </c>
      <c r="H107" s="113">
        <v>0</v>
      </c>
      <c r="I107" s="113">
        <v>0</v>
      </c>
      <c r="J107" s="113">
        <v>0</v>
      </c>
      <c r="K107" s="113">
        <v>0</v>
      </c>
      <c r="L107" s="113">
        <v>0</v>
      </c>
      <c r="M107" s="113">
        <v>0</v>
      </c>
    </row>
    <row r="108" spans="1:13" s="114" customFormat="1">
      <c r="A108" s="107">
        <v>1280</v>
      </c>
      <c r="B108" s="107">
        <v>1285</v>
      </c>
      <c r="C108" s="107">
        <v>4320</v>
      </c>
      <c r="D108" s="113">
        <v>0</v>
      </c>
      <c r="E108" s="113">
        <v>0</v>
      </c>
      <c r="F108" s="113">
        <v>0</v>
      </c>
      <c r="G108" s="113">
        <v>0</v>
      </c>
      <c r="H108" s="113">
        <v>0</v>
      </c>
      <c r="I108" s="113">
        <v>0</v>
      </c>
      <c r="J108" s="113">
        <v>0</v>
      </c>
      <c r="K108" s="113">
        <v>0</v>
      </c>
      <c r="L108" s="113">
        <v>0</v>
      </c>
      <c r="M108" s="113">
        <v>0</v>
      </c>
    </row>
    <row r="109" spans="1:13" s="114" customFormat="1">
      <c r="A109" s="107">
        <v>1285</v>
      </c>
      <c r="B109" s="107">
        <v>1290</v>
      </c>
      <c r="C109" s="107">
        <v>4430</v>
      </c>
      <c r="D109" s="113">
        <v>0</v>
      </c>
      <c r="E109" s="113">
        <v>0</v>
      </c>
      <c r="F109" s="113">
        <v>0</v>
      </c>
      <c r="G109" s="113">
        <v>0</v>
      </c>
      <c r="H109" s="113">
        <v>0</v>
      </c>
      <c r="I109" s="113">
        <v>0</v>
      </c>
      <c r="J109" s="113">
        <v>0</v>
      </c>
      <c r="K109" s="113">
        <v>0</v>
      </c>
      <c r="L109" s="113">
        <v>0</v>
      </c>
      <c r="M109" s="113">
        <v>0</v>
      </c>
    </row>
    <row r="110" spans="1:13" s="114" customFormat="1">
      <c r="A110" s="107">
        <v>1290</v>
      </c>
      <c r="B110" s="107">
        <v>1295</v>
      </c>
      <c r="C110" s="107">
        <v>4530</v>
      </c>
      <c r="D110" s="113">
        <v>0</v>
      </c>
      <c r="E110" s="113">
        <v>0</v>
      </c>
      <c r="F110" s="113">
        <v>0</v>
      </c>
      <c r="G110" s="113">
        <v>0</v>
      </c>
      <c r="H110" s="113">
        <v>0</v>
      </c>
      <c r="I110" s="113">
        <v>0</v>
      </c>
      <c r="J110" s="113">
        <v>0</v>
      </c>
      <c r="K110" s="113">
        <v>0</v>
      </c>
      <c r="L110" s="113">
        <v>0</v>
      </c>
      <c r="M110" s="113">
        <v>0</v>
      </c>
    </row>
    <row r="111" spans="1:13" s="114" customFormat="1">
      <c r="A111" s="107">
        <v>1295</v>
      </c>
      <c r="B111" s="107">
        <v>1300</v>
      </c>
      <c r="C111" s="107">
        <v>4630</v>
      </c>
      <c r="D111" s="113">
        <v>0</v>
      </c>
      <c r="E111" s="113">
        <v>0</v>
      </c>
      <c r="F111" s="113">
        <v>0</v>
      </c>
      <c r="G111" s="113">
        <v>0</v>
      </c>
      <c r="H111" s="113">
        <v>0</v>
      </c>
      <c r="I111" s="113">
        <v>0</v>
      </c>
      <c r="J111" s="113">
        <v>0</v>
      </c>
      <c r="K111" s="113">
        <v>0</v>
      </c>
      <c r="L111" s="113">
        <v>0</v>
      </c>
      <c r="M111" s="113">
        <v>0</v>
      </c>
    </row>
    <row r="112" spans="1:13" s="114" customFormat="1">
      <c r="A112" s="107">
        <v>1300</v>
      </c>
      <c r="B112" s="107">
        <v>1305</v>
      </c>
      <c r="C112" s="107">
        <v>4740</v>
      </c>
      <c r="D112" s="113">
        <v>0</v>
      </c>
      <c r="E112" s="113">
        <v>0</v>
      </c>
      <c r="F112" s="113">
        <v>0</v>
      </c>
      <c r="G112" s="113">
        <v>0</v>
      </c>
      <c r="H112" s="113">
        <v>0</v>
      </c>
      <c r="I112" s="113">
        <v>0</v>
      </c>
      <c r="J112" s="113">
        <v>0</v>
      </c>
      <c r="K112" s="113">
        <v>0</v>
      </c>
      <c r="L112" s="113">
        <v>0</v>
      </c>
      <c r="M112" s="113">
        <v>0</v>
      </c>
    </row>
    <row r="113" spans="1:13" s="114" customFormat="1">
      <c r="A113" s="107">
        <v>1305</v>
      </c>
      <c r="B113" s="107">
        <v>1310</v>
      </c>
      <c r="C113" s="107">
        <v>4840</v>
      </c>
      <c r="D113" s="113">
        <v>0</v>
      </c>
      <c r="E113" s="113">
        <v>0</v>
      </c>
      <c r="F113" s="113">
        <v>0</v>
      </c>
      <c r="G113" s="113">
        <v>0</v>
      </c>
      <c r="H113" s="113">
        <v>0</v>
      </c>
      <c r="I113" s="113">
        <v>0</v>
      </c>
      <c r="J113" s="113">
        <v>0</v>
      </c>
      <c r="K113" s="113">
        <v>0</v>
      </c>
      <c r="L113" s="113">
        <v>0</v>
      </c>
      <c r="M113" s="113">
        <v>0</v>
      </c>
    </row>
    <row r="114" spans="1:13" s="114" customFormat="1">
      <c r="A114" s="108">
        <v>1310</v>
      </c>
      <c r="B114" s="108">
        <v>1315</v>
      </c>
      <c r="C114" s="108">
        <v>4940</v>
      </c>
      <c r="D114" s="113">
        <v>0</v>
      </c>
      <c r="E114" s="113">
        <v>0</v>
      </c>
      <c r="F114" s="113">
        <v>0</v>
      </c>
      <c r="G114" s="113">
        <v>0</v>
      </c>
      <c r="H114" s="113">
        <v>0</v>
      </c>
      <c r="I114" s="113">
        <v>0</v>
      </c>
      <c r="J114" s="113">
        <v>0</v>
      </c>
      <c r="K114" s="113">
        <v>0</v>
      </c>
      <c r="L114" s="113">
        <v>0</v>
      </c>
      <c r="M114" s="113">
        <v>0</v>
      </c>
    </row>
    <row r="115" spans="1:13" s="114" customFormat="1">
      <c r="A115" s="107">
        <v>1315</v>
      </c>
      <c r="B115" s="107">
        <v>1320</v>
      </c>
      <c r="C115" s="107">
        <v>5050</v>
      </c>
      <c r="D115" s="113">
        <v>0</v>
      </c>
      <c r="E115" s="113">
        <v>0</v>
      </c>
      <c r="F115" s="113">
        <v>0</v>
      </c>
      <c r="G115" s="113">
        <v>0</v>
      </c>
      <c r="H115" s="113">
        <v>0</v>
      </c>
      <c r="I115" s="113">
        <v>0</v>
      </c>
      <c r="J115" s="113">
        <v>0</v>
      </c>
      <c r="K115" s="113">
        <v>0</v>
      </c>
      <c r="L115" s="113">
        <v>0</v>
      </c>
      <c r="M115" s="113">
        <v>0</v>
      </c>
    </row>
    <row r="116" spans="1:13" s="114" customFormat="1">
      <c r="A116" s="107">
        <v>1320</v>
      </c>
      <c r="B116" s="107">
        <v>1325</v>
      </c>
      <c r="C116" s="107">
        <v>5150</v>
      </c>
      <c r="D116" s="113">
        <v>0</v>
      </c>
      <c r="E116" s="113">
        <v>0</v>
      </c>
      <c r="F116" s="113">
        <v>0</v>
      </c>
      <c r="G116" s="113">
        <v>0</v>
      </c>
      <c r="H116" s="113">
        <v>0</v>
      </c>
      <c r="I116" s="113">
        <v>0</v>
      </c>
      <c r="J116" s="113">
        <v>0</v>
      </c>
      <c r="K116" s="113">
        <v>0</v>
      </c>
      <c r="L116" s="113">
        <v>0</v>
      </c>
      <c r="M116" s="113">
        <v>0</v>
      </c>
    </row>
    <row r="117" spans="1:13" s="114" customFormat="1">
      <c r="A117" s="107">
        <v>1325</v>
      </c>
      <c r="B117" s="107">
        <v>1330</v>
      </c>
      <c r="C117" s="107">
        <v>5250</v>
      </c>
      <c r="D117" s="113">
        <v>0</v>
      </c>
      <c r="E117" s="113">
        <v>0</v>
      </c>
      <c r="F117" s="113">
        <v>0</v>
      </c>
      <c r="G117" s="113">
        <v>0</v>
      </c>
      <c r="H117" s="113">
        <v>0</v>
      </c>
      <c r="I117" s="113">
        <v>0</v>
      </c>
      <c r="J117" s="113">
        <v>0</v>
      </c>
      <c r="K117" s="113">
        <v>0</v>
      </c>
      <c r="L117" s="113">
        <v>0</v>
      </c>
      <c r="M117" s="113">
        <v>0</v>
      </c>
    </row>
    <row r="118" spans="1:13" s="114" customFormat="1">
      <c r="A118" s="107">
        <v>1330</v>
      </c>
      <c r="B118" s="107">
        <v>1335</v>
      </c>
      <c r="C118" s="107">
        <v>5360</v>
      </c>
      <c r="D118" s="113">
        <v>0</v>
      </c>
      <c r="E118" s="113">
        <v>0</v>
      </c>
      <c r="F118" s="113">
        <v>0</v>
      </c>
      <c r="G118" s="113">
        <v>0</v>
      </c>
      <c r="H118" s="113">
        <v>0</v>
      </c>
      <c r="I118" s="113">
        <v>0</v>
      </c>
      <c r="J118" s="113">
        <v>0</v>
      </c>
      <c r="K118" s="113">
        <v>0</v>
      </c>
      <c r="L118" s="113">
        <v>0</v>
      </c>
      <c r="M118" s="113">
        <v>0</v>
      </c>
    </row>
    <row r="119" spans="1:13" s="114" customFormat="1">
      <c r="A119" s="107">
        <v>1335</v>
      </c>
      <c r="B119" s="107">
        <v>1340</v>
      </c>
      <c r="C119" s="107">
        <v>5460</v>
      </c>
      <c r="D119" s="113">
        <v>0</v>
      </c>
      <c r="E119" s="113">
        <v>0</v>
      </c>
      <c r="F119" s="113">
        <v>0</v>
      </c>
      <c r="G119" s="113">
        <v>0</v>
      </c>
      <c r="H119" s="113">
        <v>0</v>
      </c>
      <c r="I119" s="113">
        <v>0</v>
      </c>
      <c r="J119" s="113">
        <v>0</v>
      </c>
      <c r="K119" s="113">
        <v>0</v>
      </c>
      <c r="L119" s="113">
        <v>0</v>
      </c>
      <c r="M119" s="113">
        <v>0</v>
      </c>
    </row>
    <row r="120" spans="1:13" s="114" customFormat="1">
      <c r="A120" s="107">
        <v>1340</v>
      </c>
      <c r="B120" s="107">
        <v>1345</v>
      </c>
      <c r="C120" s="107">
        <v>5560</v>
      </c>
      <c r="D120" s="107">
        <v>1060</v>
      </c>
      <c r="E120" s="113">
        <v>0</v>
      </c>
      <c r="F120" s="113">
        <v>0</v>
      </c>
      <c r="G120" s="113">
        <v>0</v>
      </c>
      <c r="H120" s="113">
        <v>0</v>
      </c>
      <c r="I120" s="113">
        <v>0</v>
      </c>
      <c r="J120" s="113">
        <v>0</v>
      </c>
      <c r="K120" s="113">
        <v>0</v>
      </c>
      <c r="L120" s="113">
        <v>0</v>
      </c>
      <c r="M120" s="113">
        <v>0</v>
      </c>
    </row>
    <row r="121" spans="1:13" s="114" customFormat="1">
      <c r="A121" s="107">
        <v>1345</v>
      </c>
      <c r="B121" s="107">
        <v>1350</v>
      </c>
      <c r="C121" s="107">
        <v>5670</v>
      </c>
      <c r="D121" s="107">
        <v>1170</v>
      </c>
      <c r="E121" s="113">
        <v>0</v>
      </c>
      <c r="F121" s="113">
        <v>0</v>
      </c>
      <c r="G121" s="113">
        <v>0</v>
      </c>
      <c r="H121" s="113">
        <v>0</v>
      </c>
      <c r="I121" s="113">
        <v>0</v>
      </c>
      <c r="J121" s="113">
        <v>0</v>
      </c>
      <c r="K121" s="113">
        <v>0</v>
      </c>
      <c r="L121" s="113">
        <v>0</v>
      </c>
      <c r="M121" s="113">
        <v>0</v>
      </c>
    </row>
    <row r="122" spans="1:13" s="114" customFormat="1">
      <c r="A122" s="107">
        <v>1350</v>
      </c>
      <c r="B122" s="107">
        <v>1355</v>
      </c>
      <c r="C122" s="107">
        <v>5770</v>
      </c>
      <c r="D122" s="107">
        <v>1270</v>
      </c>
      <c r="E122" s="113">
        <v>0</v>
      </c>
      <c r="F122" s="113">
        <v>0</v>
      </c>
      <c r="G122" s="113">
        <v>0</v>
      </c>
      <c r="H122" s="113">
        <v>0</v>
      </c>
      <c r="I122" s="113">
        <v>0</v>
      </c>
      <c r="J122" s="113">
        <v>0</v>
      </c>
      <c r="K122" s="113">
        <v>0</v>
      </c>
      <c r="L122" s="113">
        <v>0</v>
      </c>
      <c r="M122" s="113">
        <v>0</v>
      </c>
    </row>
    <row r="123" spans="1:13" s="114" customFormat="1">
      <c r="A123" s="107">
        <v>1355</v>
      </c>
      <c r="B123" s="107">
        <v>1360</v>
      </c>
      <c r="C123" s="107">
        <v>5870</v>
      </c>
      <c r="D123" s="107">
        <v>1370</v>
      </c>
      <c r="E123" s="113">
        <v>0</v>
      </c>
      <c r="F123" s="113">
        <v>0</v>
      </c>
      <c r="G123" s="113">
        <v>0</v>
      </c>
      <c r="H123" s="113">
        <v>0</v>
      </c>
      <c r="I123" s="113">
        <v>0</v>
      </c>
      <c r="J123" s="113">
        <v>0</v>
      </c>
      <c r="K123" s="113">
        <v>0</v>
      </c>
      <c r="L123" s="113">
        <v>0</v>
      </c>
      <c r="M123" s="113">
        <v>0</v>
      </c>
    </row>
    <row r="124" spans="1:13" s="114" customFormat="1">
      <c r="A124" s="107">
        <v>1360</v>
      </c>
      <c r="B124" s="107">
        <v>1365</v>
      </c>
      <c r="C124" s="107">
        <v>5980</v>
      </c>
      <c r="D124" s="107">
        <v>1480</v>
      </c>
      <c r="E124" s="113">
        <v>0</v>
      </c>
      <c r="F124" s="113">
        <v>0</v>
      </c>
      <c r="G124" s="113">
        <v>0</v>
      </c>
      <c r="H124" s="113">
        <v>0</v>
      </c>
      <c r="I124" s="113">
        <v>0</v>
      </c>
      <c r="J124" s="113">
        <v>0</v>
      </c>
      <c r="K124" s="113">
        <v>0</v>
      </c>
      <c r="L124" s="113">
        <v>0</v>
      </c>
      <c r="M124" s="113">
        <v>0</v>
      </c>
    </row>
    <row r="125" spans="1:13" s="114" customFormat="1">
      <c r="A125" s="107">
        <v>1365</v>
      </c>
      <c r="B125" s="107">
        <v>1370</v>
      </c>
      <c r="C125" s="107">
        <v>6080</v>
      </c>
      <c r="D125" s="107">
        <v>1580</v>
      </c>
      <c r="E125" s="113">
        <v>0</v>
      </c>
      <c r="F125" s="113">
        <v>0</v>
      </c>
      <c r="G125" s="113">
        <v>0</v>
      </c>
      <c r="H125" s="113">
        <v>0</v>
      </c>
      <c r="I125" s="113">
        <v>0</v>
      </c>
      <c r="J125" s="113">
        <v>0</v>
      </c>
      <c r="K125" s="113">
        <v>0</v>
      </c>
      <c r="L125" s="113">
        <v>0</v>
      </c>
      <c r="M125" s="113">
        <v>0</v>
      </c>
    </row>
    <row r="126" spans="1:13" s="114" customFormat="1">
      <c r="A126" s="107">
        <v>1370</v>
      </c>
      <c r="B126" s="107">
        <v>1375</v>
      </c>
      <c r="C126" s="107">
        <v>6180</v>
      </c>
      <c r="D126" s="107">
        <v>1680</v>
      </c>
      <c r="E126" s="113">
        <v>0</v>
      </c>
      <c r="F126" s="113">
        <v>0</v>
      </c>
      <c r="G126" s="113">
        <v>0</v>
      </c>
      <c r="H126" s="113">
        <v>0</v>
      </c>
      <c r="I126" s="113">
        <v>0</v>
      </c>
      <c r="J126" s="113">
        <v>0</v>
      </c>
      <c r="K126" s="113">
        <v>0</v>
      </c>
      <c r="L126" s="113">
        <v>0</v>
      </c>
      <c r="M126" s="113">
        <v>0</v>
      </c>
    </row>
    <row r="127" spans="1:13" s="114" customFormat="1">
      <c r="A127" s="107">
        <v>1375</v>
      </c>
      <c r="B127" s="107">
        <v>1380</v>
      </c>
      <c r="C127" s="107">
        <v>6290</v>
      </c>
      <c r="D127" s="107">
        <v>1790</v>
      </c>
      <c r="E127" s="113">
        <v>0</v>
      </c>
      <c r="F127" s="113">
        <v>0</v>
      </c>
      <c r="G127" s="113">
        <v>0</v>
      </c>
      <c r="H127" s="113">
        <v>0</v>
      </c>
      <c r="I127" s="113">
        <v>0</v>
      </c>
      <c r="J127" s="113">
        <v>0</v>
      </c>
      <c r="K127" s="113">
        <v>0</v>
      </c>
      <c r="L127" s="113">
        <v>0</v>
      </c>
      <c r="M127" s="113">
        <v>0</v>
      </c>
    </row>
    <row r="128" spans="1:13" s="114" customFormat="1">
      <c r="A128" s="107">
        <v>1380</v>
      </c>
      <c r="B128" s="107">
        <v>1385</v>
      </c>
      <c r="C128" s="107">
        <v>6390</v>
      </c>
      <c r="D128" s="107">
        <v>1890</v>
      </c>
      <c r="E128" s="113">
        <v>0</v>
      </c>
      <c r="F128" s="113">
        <v>0</v>
      </c>
      <c r="G128" s="113">
        <v>0</v>
      </c>
      <c r="H128" s="113">
        <v>0</v>
      </c>
      <c r="I128" s="113">
        <v>0</v>
      </c>
      <c r="J128" s="113">
        <v>0</v>
      </c>
      <c r="K128" s="113">
        <v>0</v>
      </c>
      <c r="L128" s="113">
        <v>0</v>
      </c>
      <c r="M128" s="113">
        <v>0</v>
      </c>
    </row>
    <row r="129" spans="1:13" s="114" customFormat="1">
      <c r="A129" s="107">
        <v>1385</v>
      </c>
      <c r="B129" s="107">
        <v>1390</v>
      </c>
      <c r="C129" s="107">
        <v>6490</v>
      </c>
      <c r="D129" s="107">
        <v>1990</v>
      </c>
      <c r="E129" s="113">
        <v>0</v>
      </c>
      <c r="F129" s="113">
        <v>0</v>
      </c>
      <c r="G129" s="113">
        <v>0</v>
      </c>
      <c r="H129" s="113">
        <v>0</v>
      </c>
      <c r="I129" s="113">
        <v>0</v>
      </c>
      <c r="J129" s="113">
        <v>0</v>
      </c>
      <c r="K129" s="113">
        <v>0</v>
      </c>
      <c r="L129" s="113">
        <v>0</v>
      </c>
      <c r="M129" s="113">
        <v>0</v>
      </c>
    </row>
    <row r="130" spans="1:13" s="114" customFormat="1">
      <c r="A130" s="107">
        <v>1390</v>
      </c>
      <c r="B130" s="107">
        <v>1395</v>
      </c>
      <c r="C130" s="107">
        <v>6600</v>
      </c>
      <c r="D130" s="107">
        <v>2100</v>
      </c>
      <c r="E130" s="113">
        <v>0</v>
      </c>
      <c r="F130" s="113">
        <v>0</v>
      </c>
      <c r="G130" s="113">
        <v>0</v>
      </c>
      <c r="H130" s="113">
        <v>0</v>
      </c>
      <c r="I130" s="113">
        <v>0</v>
      </c>
      <c r="J130" s="113">
        <v>0</v>
      </c>
      <c r="K130" s="113">
        <v>0</v>
      </c>
      <c r="L130" s="113">
        <v>0</v>
      </c>
      <c r="M130" s="113">
        <v>0</v>
      </c>
    </row>
    <row r="131" spans="1:13" s="114" customFormat="1">
      <c r="A131" s="107">
        <v>1395</v>
      </c>
      <c r="B131" s="107">
        <v>1400</v>
      </c>
      <c r="C131" s="107">
        <v>6700</v>
      </c>
      <c r="D131" s="107">
        <v>2200</v>
      </c>
      <c r="E131" s="113">
        <v>0</v>
      </c>
      <c r="F131" s="113">
        <v>0</v>
      </c>
      <c r="G131" s="113">
        <v>0</v>
      </c>
      <c r="H131" s="113">
        <v>0</v>
      </c>
      <c r="I131" s="113">
        <v>0</v>
      </c>
      <c r="J131" s="113">
        <v>0</v>
      </c>
      <c r="K131" s="113">
        <v>0</v>
      </c>
      <c r="L131" s="113">
        <v>0</v>
      </c>
      <c r="M131" s="113">
        <v>0</v>
      </c>
    </row>
    <row r="132" spans="1:13" s="114" customFormat="1">
      <c r="A132" s="107">
        <v>1400</v>
      </c>
      <c r="B132" s="107">
        <v>1405</v>
      </c>
      <c r="C132" s="107">
        <v>6800</v>
      </c>
      <c r="D132" s="107">
        <v>2300</v>
      </c>
      <c r="E132" s="113">
        <v>0</v>
      </c>
      <c r="F132" s="113">
        <v>0</v>
      </c>
      <c r="G132" s="113">
        <v>0</v>
      </c>
      <c r="H132" s="113">
        <v>0</v>
      </c>
      <c r="I132" s="113">
        <v>0</v>
      </c>
      <c r="J132" s="113">
        <v>0</v>
      </c>
      <c r="K132" s="113">
        <v>0</v>
      </c>
      <c r="L132" s="113">
        <v>0</v>
      </c>
      <c r="M132" s="113">
        <v>0</v>
      </c>
    </row>
    <row r="133" spans="1:13" s="114" customFormat="1">
      <c r="A133" s="107">
        <v>1405</v>
      </c>
      <c r="B133" s="107">
        <v>1410</v>
      </c>
      <c r="C133" s="107">
        <v>6910</v>
      </c>
      <c r="D133" s="107">
        <v>2410</v>
      </c>
      <c r="E133" s="113">
        <v>0</v>
      </c>
      <c r="F133" s="113">
        <v>0</v>
      </c>
      <c r="G133" s="113">
        <v>0</v>
      </c>
      <c r="H133" s="113">
        <v>0</v>
      </c>
      <c r="I133" s="113">
        <v>0</v>
      </c>
      <c r="J133" s="113">
        <v>0</v>
      </c>
      <c r="K133" s="113">
        <v>0</v>
      </c>
      <c r="L133" s="113">
        <v>0</v>
      </c>
      <c r="M133" s="113">
        <v>0</v>
      </c>
    </row>
    <row r="134" spans="1:13" s="114" customFormat="1">
      <c r="A134" s="107">
        <v>1410</v>
      </c>
      <c r="B134" s="107">
        <v>1415</v>
      </c>
      <c r="C134" s="107">
        <v>7010</v>
      </c>
      <c r="D134" s="107">
        <v>2510</v>
      </c>
      <c r="E134" s="113">
        <v>0</v>
      </c>
      <c r="F134" s="113">
        <v>0</v>
      </c>
      <c r="G134" s="113">
        <v>0</v>
      </c>
      <c r="H134" s="113">
        <v>0</v>
      </c>
      <c r="I134" s="113">
        <v>0</v>
      </c>
      <c r="J134" s="113">
        <v>0</v>
      </c>
      <c r="K134" s="113">
        <v>0</v>
      </c>
      <c r="L134" s="113">
        <v>0</v>
      </c>
      <c r="M134" s="113">
        <v>0</v>
      </c>
    </row>
    <row r="135" spans="1:13" s="114" customFormat="1">
      <c r="A135" s="107">
        <v>1415</v>
      </c>
      <c r="B135" s="107">
        <v>1420</v>
      </c>
      <c r="C135" s="107">
        <v>7110</v>
      </c>
      <c r="D135" s="107">
        <v>2610</v>
      </c>
      <c r="E135" s="113">
        <v>0</v>
      </c>
      <c r="F135" s="113">
        <v>0</v>
      </c>
      <c r="G135" s="113">
        <v>0</v>
      </c>
      <c r="H135" s="113">
        <v>0</v>
      </c>
      <c r="I135" s="113">
        <v>0</v>
      </c>
      <c r="J135" s="113">
        <v>0</v>
      </c>
      <c r="K135" s="113">
        <v>0</v>
      </c>
      <c r="L135" s="113">
        <v>0</v>
      </c>
      <c r="M135" s="113">
        <v>0</v>
      </c>
    </row>
    <row r="136" spans="1:13" s="114" customFormat="1">
      <c r="A136" s="107">
        <v>1420</v>
      </c>
      <c r="B136" s="107">
        <v>1425</v>
      </c>
      <c r="C136" s="107">
        <v>7210</v>
      </c>
      <c r="D136" s="107">
        <v>2710</v>
      </c>
      <c r="E136" s="113">
        <v>0</v>
      </c>
      <c r="F136" s="113">
        <v>0</v>
      </c>
      <c r="G136" s="113">
        <v>0</v>
      </c>
      <c r="H136" s="113">
        <v>0</v>
      </c>
      <c r="I136" s="113">
        <v>0</v>
      </c>
      <c r="J136" s="113">
        <v>0</v>
      </c>
      <c r="K136" s="113">
        <v>0</v>
      </c>
      <c r="L136" s="113">
        <v>0</v>
      </c>
      <c r="M136" s="113">
        <v>0</v>
      </c>
    </row>
    <row r="137" spans="1:13" s="114" customFormat="1">
      <c r="A137" s="107">
        <v>1425</v>
      </c>
      <c r="B137" s="107">
        <v>1430</v>
      </c>
      <c r="C137" s="107">
        <v>7320</v>
      </c>
      <c r="D137" s="107">
        <v>2820</v>
      </c>
      <c r="E137" s="113">
        <v>0</v>
      </c>
      <c r="F137" s="113">
        <v>0</v>
      </c>
      <c r="G137" s="113">
        <v>0</v>
      </c>
      <c r="H137" s="113">
        <v>0</v>
      </c>
      <c r="I137" s="113">
        <v>0</v>
      </c>
      <c r="J137" s="113">
        <v>0</v>
      </c>
      <c r="K137" s="113">
        <v>0</v>
      </c>
      <c r="L137" s="113">
        <v>0</v>
      </c>
      <c r="M137" s="113">
        <v>0</v>
      </c>
    </row>
    <row r="138" spans="1:13" s="114" customFormat="1">
      <c r="A138" s="107">
        <v>1430</v>
      </c>
      <c r="B138" s="107">
        <v>1435</v>
      </c>
      <c r="C138" s="107">
        <v>7420</v>
      </c>
      <c r="D138" s="107">
        <v>2920</v>
      </c>
      <c r="E138" s="113">
        <v>0</v>
      </c>
      <c r="F138" s="113">
        <v>0</v>
      </c>
      <c r="G138" s="113">
        <v>0</v>
      </c>
      <c r="H138" s="113">
        <v>0</v>
      </c>
      <c r="I138" s="113">
        <v>0</v>
      </c>
      <c r="J138" s="113">
        <v>0</v>
      </c>
      <c r="K138" s="113">
        <v>0</v>
      </c>
      <c r="L138" s="113">
        <v>0</v>
      </c>
      <c r="M138" s="113">
        <v>0</v>
      </c>
    </row>
    <row r="139" spans="1:13" s="114" customFormat="1">
      <c r="A139" s="107">
        <v>1435</v>
      </c>
      <c r="B139" s="107">
        <v>1440</v>
      </c>
      <c r="C139" s="107">
        <v>7520</v>
      </c>
      <c r="D139" s="107">
        <v>3020</v>
      </c>
      <c r="E139" s="113">
        <v>0</v>
      </c>
      <c r="F139" s="113">
        <v>0</v>
      </c>
      <c r="G139" s="113">
        <v>0</v>
      </c>
      <c r="H139" s="113">
        <v>0</v>
      </c>
      <c r="I139" s="113">
        <v>0</v>
      </c>
      <c r="J139" s="113">
        <v>0</v>
      </c>
      <c r="K139" s="113">
        <v>0</v>
      </c>
      <c r="L139" s="113">
        <v>0</v>
      </c>
      <c r="M139" s="113">
        <v>0</v>
      </c>
    </row>
    <row r="140" spans="1:13" s="114" customFormat="1">
      <c r="A140" s="107">
        <v>1440</v>
      </c>
      <c r="B140" s="107">
        <v>1445</v>
      </c>
      <c r="C140" s="107">
        <v>7630</v>
      </c>
      <c r="D140" s="107">
        <v>3130</v>
      </c>
      <c r="E140" s="113">
        <v>0</v>
      </c>
      <c r="F140" s="113">
        <v>0</v>
      </c>
      <c r="G140" s="113">
        <v>0</v>
      </c>
      <c r="H140" s="113">
        <v>0</v>
      </c>
      <c r="I140" s="113">
        <v>0</v>
      </c>
      <c r="J140" s="113">
        <v>0</v>
      </c>
      <c r="K140" s="113">
        <v>0</v>
      </c>
      <c r="L140" s="113">
        <v>0</v>
      </c>
      <c r="M140" s="113">
        <v>0</v>
      </c>
    </row>
    <row r="141" spans="1:13" s="114" customFormat="1">
      <c r="A141" s="107">
        <v>1445</v>
      </c>
      <c r="B141" s="107">
        <v>1450</v>
      </c>
      <c r="C141" s="107">
        <v>7730</v>
      </c>
      <c r="D141" s="107">
        <v>3230</v>
      </c>
      <c r="E141" s="113">
        <v>0</v>
      </c>
      <c r="F141" s="113">
        <v>0</v>
      </c>
      <c r="G141" s="113">
        <v>0</v>
      </c>
      <c r="H141" s="113">
        <v>0</v>
      </c>
      <c r="I141" s="113">
        <v>0</v>
      </c>
      <c r="J141" s="113">
        <v>0</v>
      </c>
      <c r="K141" s="113">
        <v>0</v>
      </c>
      <c r="L141" s="113">
        <v>0</v>
      </c>
      <c r="M141" s="113">
        <v>0</v>
      </c>
    </row>
    <row r="142" spans="1:13" s="114" customFormat="1">
      <c r="A142" s="107">
        <v>1450</v>
      </c>
      <c r="B142" s="107">
        <v>1455</v>
      </c>
      <c r="C142" s="107">
        <v>7830</v>
      </c>
      <c r="D142" s="107">
        <v>3330</v>
      </c>
      <c r="E142" s="113">
        <v>0</v>
      </c>
      <c r="F142" s="113">
        <v>0</v>
      </c>
      <c r="G142" s="113">
        <v>0</v>
      </c>
      <c r="H142" s="113">
        <v>0</v>
      </c>
      <c r="I142" s="113">
        <v>0</v>
      </c>
      <c r="J142" s="113">
        <v>0</v>
      </c>
      <c r="K142" s="113">
        <v>0</v>
      </c>
      <c r="L142" s="113">
        <v>0</v>
      </c>
      <c r="M142" s="113">
        <v>0</v>
      </c>
    </row>
    <row r="143" spans="1:13" s="114" customFormat="1">
      <c r="A143" s="107">
        <v>1455</v>
      </c>
      <c r="B143" s="107">
        <v>1460</v>
      </c>
      <c r="C143" s="107">
        <v>7940</v>
      </c>
      <c r="D143" s="107">
        <v>3440</v>
      </c>
      <c r="E143" s="113">
        <v>0</v>
      </c>
      <c r="F143" s="113">
        <v>0</v>
      </c>
      <c r="G143" s="113">
        <v>0</v>
      </c>
      <c r="H143" s="113">
        <v>0</v>
      </c>
      <c r="I143" s="113">
        <v>0</v>
      </c>
      <c r="J143" s="113">
        <v>0</v>
      </c>
      <c r="K143" s="113">
        <v>0</v>
      </c>
      <c r="L143" s="113">
        <v>0</v>
      </c>
      <c r="M143" s="113">
        <v>0</v>
      </c>
    </row>
    <row r="144" spans="1:13" s="114" customFormat="1">
      <c r="A144" s="107">
        <v>1460</v>
      </c>
      <c r="B144" s="107">
        <v>1465</v>
      </c>
      <c r="C144" s="107">
        <v>8040</v>
      </c>
      <c r="D144" s="107">
        <v>3540</v>
      </c>
      <c r="E144" s="113">
        <v>0</v>
      </c>
      <c r="F144" s="113">
        <v>0</v>
      </c>
      <c r="G144" s="113">
        <v>0</v>
      </c>
      <c r="H144" s="113">
        <v>0</v>
      </c>
      <c r="I144" s="113">
        <v>0</v>
      </c>
      <c r="J144" s="113">
        <v>0</v>
      </c>
      <c r="K144" s="113">
        <v>0</v>
      </c>
      <c r="L144" s="113">
        <v>0</v>
      </c>
      <c r="M144" s="113">
        <v>0</v>
      </c>
    </row>
    <row r="145" spans="1:13" s="114" customFormat="1">
      <c r="A145" s="107">
        <v>1465</v>
      </c>
      <c r="B145" s="107">
        <v>1470</v>
      </c>
      <c r="C145" s="107">
        <v>8140</v>
      </c>
      <c r="D145" s="107">
        <v>3640</v>
      </c>
      <c r="E145" s="113">
        <v>0</v>
      </c>
      <c r="F145" s="113">
        <v>0</v>
      </c>
      <c r="G145" s="113">
        <v>0</v>
      </c>
      <c r="H145" s="113">
        <v>0</v>
      </c>
      <c r="I145" s="113">
        <v>0</v>
      </c>
      <c r="J145" s="113">
        <v>0</v>
      </c>
      <c r="K145" s="113">
        <v>0</v>
      </c>
      <c r="L145" s="113">
        <v>0</v>
      </c>
      <c r="M145" s="113">
        <v>0</v>
      </c>
    </row>
    <row r="146" spans="1:13" s="114" customFormat="1">
      <c r="A146" s="107">
        <v>1470</v>
      </c>
      <c r="B146" s="107">
        <v>1475</v>
      </c>
      <c r="C146" s="107">
        <v>8250</v>
      </c>
      <c r="D146" s="107">
        <v>3750</v>
      </c>
      <c r="E146" s="113">
        <v>0</v>
      </c>
      <c r="F146" s="113">
        <v>0</v>
      </c>
      <c r="G146" s="113">
        <v>0</v>
      </c>
      <c r="H146" s="113">
        <v>0</v>
      </c>
      <c r="I146" s="113">
        <v>0</v>
      </c>
      <c r="J146" s="113">
        <v>0</v>
      </c>
      <c r="K146" s="113">
        <v>0</v>
      </c>
      <c r="L146" s="113">
        <v>0</v>
      </c>
      <c r="M146" s="113">
        <v>0</v>
      </c>
    </row>
    <row r="147" spans="1:13" s="114" customFormat="1">
      <c r="A147" s="107">
        <v>1475</v>
      </c>
      <c r="B147" s="107">
        <v>1480</v>
      </c>
      <c r="C147" s="107">
        <v>8350</v>
      </c>
      <c r="D147" s="107">
        <v>3850</v>
      </c>
      <c r="E147" s="113">
        <v>0</v>
      </c>
      <c r="F147" s="113">
        <v>0</v>
      </c>
      <c r="G147" s="113">
        <v>0</v>
      </c>
      <c r="H147" s="113">
        <v>0</v>
      </c>
      <c r="I147" s="113">
        <v>0</v>
      </c>
      <c r="J147" s="113">
        <v>0</v>
      </c>
      <c r="K147" s="113">
        <v>0</v>
      </c>
      <c r="L147" s="113">
        <v>0</v>
      </c>
      <c r="M147" s="113">
        <v>0</v>
      </c>
    </row>
    <row r="148" spans="1:13" s="114" customFormat="1">
      <c r="A148" s="107">
        <v>1480</v>
      </c>
      <c r="B148" s="107">
        <v>1485</v>
      </c>
      <c r="C148" s="107">
        <v>8450</v>
      </c>
      <c r="D148" s="107">
        <v>3950</v>
      </c>
      <c r="E148" s="113">
        <v>0</v>
      </c>
      <c r="F148" s="113">
        <v>0</v>
      </c>
      <c r="G148" s="113">
        <v>0</v>
      </c>
      <c r="H148" s="113">
        <v>0</v>
      </c>
      <c r="I148" s="113">
        <v>0</v>
      </c>
      <c r="J148" s="113">
        <v>0</v>
      </c>
      <c r="K148" s="113">
        <v>0</v>
      </c>
      <c r="L148" s="113">
        <v>0</v>
      </c>
      <c r="M148" s="113">
        <v>0</v>
      </c>
    </row>
    <row r="149" spans="1:13" s="114" customFormat="1">
      <c r="A149" s="107">
        <v>1485</v>
      </c>
      <c r="B149" s="107">
        <v>1490</v>
      </c>
      <c r="C149" s="107">
        <v>8560</v>
      </c>
      <c r="D149" s="107">
        <v>4060</v>
      </c>
      <c r="E149" s="113">
        <v>0</v>
      </c>
      <c r="F149" s="113">
        <v>0</v>
      </c>
      <c r="G149" s="113">
        <v>0</v>
      </c>
      <c r="H149" s="113">
        <v>0</v>
      </c>
      <c r="I149" s="113">
        <v>0</v>
      </c>
      <c r="J149" s="113">
        <v>0</v>
      </c>
      <c r="K149" s="113">
        <v>0</v>
      </c>
      <c r="L149" s="113">
        <v>0</v>
      </c>
      <c r="M149" s="113">
        <v>0</v>
      </c>
    </row>
    <row r="150" spans="1:13" s="114" customFormat="1">
      <c r="A150" s="107">
        <v>1490</v>
      </c>
      <c r="B150" s="107">
        <v>1495</v>
      </c>
      <c r="C150" s="107">
        <v>8660</v>
      </c>
      <c r="D150" s="107">
        <v>4160</v>
      </c>
      <c r="E150" s="113">
        <v>0</v>
      </c>
      <c r="F150" s="113">
        <v>0</v>
      </c>
      <c r="G150" s="113">
        <v>0</v>
      </c>
      <c r="H150" s="113">
        <v>0</v>
      </c>
      <c r="I150" s="113">
        <v>0</v>
      </c>
      <c r="J150" s="113">
        <v>0</v>
      </c>
      <c r="K150" s="113">
        <v>0</v>
      </c>
      <c r="L150" s="113">
        <v>0</v>
      </c>
      <c r="M150" s="113">
        <v>0</v>
      </c>
    </row>
    <row r="151" spans="1:13" s="114" customFormat="1">
      <c r="A151" s="107">
        <v>1495</v>
      </c>
      <c r="B151" s="107">
        <v>1500</v>
      </c>
      <c r="C151" s="107">
        <v>8760</v>
      </c>
      <c r="D151" s="107">
        <v>4260</v>
      </c>
      <c r="E151" s="113">
        <v>0</v>
      </c>
      <c r="F151" s="113">
        <v>0</v>
      </c>
      <c r="G151" s="113">
        <v>0</v>
      </c>
      <c r="H151" s="113">
        <v>0</v>
      </c>
      <c r="I151" s="113">
        <v>0</v>
      </c>
      <c r="J151" s="113">
        <v>0</v>
      </c>
      <c r="K151" s="113">
        <v>0</v>
      </c>
      <c r="L151" s="113">
        <v>0</v>
      </c>
      <c r="M151" s="113">
        <v>0</v>
      </c>
    </row>
    <row r="152" spans="1:13" s="114" customFormat="1">
      <c r="A152" s="107">
        <v>1500</v>
      </c>
      <c r="B152" s="107">
        <v>1510</v>
      </c>
      <c r="C152" s="107">
        <v>8920</v>
      </c>
      <c r="D152" s="107">
        <v>4420</v>
      </c>
      <c r="E152" s="113">
        <v>0</v>
      </c>
      <c r="F152" s="113">
        <v>0</v>
      </c>
      <c r="G152" s="113">
        <v>0</v>
      </c>
      <c r="H152" s="113">
        <v>0</v>
      </c>
      <c r="I152" s="113">
        <v>0</v>
      </c>
      <c r="J152" s="113">
        <v>0</v>
      </c>
      <c r="K152" s="113">
        <v>0</v>
      </c>
      <c r="L152" s="113">
        <v>0</v>
      </c>
      <c r="M152" s="113">
        <v>0</v>
      </c>
    </row>
    <row r="153" spans="1:13" s="114" customFormat="1">
      <c r="A153" s="107">
        <v>1510</v>
      </c>
      <c r="B153" s="107">
        <v>1520</v>
      </c>
      <c r="C153" s="107">
        <v>9120</v>
      </c>
      <c r="D153" s="107">
        <v>4620</v>
      </c>
      <c r="E153" s="113">
        <v>0</v>
      </c>
      <c r="F153" s="113">
        <v>0</v>
      </c>
      <c r="G153" s="113">
        <v>0</v>
      </c>
      <c r="H153" s="113">
        <v>0</v>
      </c>
      <c r="I153" s="113">
        <v>0</v>
      </c>
      <c r="J153" s="113">
        <v>0</v>
      </c>
      <c r="K153" s="113">
        <v>0</v>
      </c>
      <c r="L153" s="113">
        <v>0</v>
      </c>
      <c r="M153" s="113">
        <v>0</v>
      </c>
    </row>
    <row r="154" spans="1:13" s="114" customFormat="1">
      <c r="A154" s="107">
        <v>1520</v>
      </c>
      <c r="B154" s="107">
        <v>1530</v>
      </c>
      <c r="C154" s="107">
        <v>9330</v>
      </c>
      <c r="D154" s="107">
        <v>4830</v>
      </c>
      <c r="E154" s="113">
        <v>0</v>
      </c>
      <c r="F154" s="113">
        <v>0</v>
      </c>
      <c r="G154" s="113">
        <v>0</v>
      </c>
      <c r="H154" s="113">
        <v>0</v>
      </c>
      <c r="I154" s="113">
        <v>0</v>
      </c>
      <c r="J154" s="113">
        <v>0</v>
      </c>
      <c r="K154" s="113">
        <v>0</v>
      </c>
      <c r="L154" s="113">
        <v>0</v>
      </c>
      <c r="M154" s="113">
        <v>0</v>
      </c>
    </row>
    <row r="155" spans="1:13" s="114" customFormat="1">
      <c r="A155" s="107">
        <v>1530</v>
      </c>
      <c r="B155" s="107">
        <v>1540</v>
      </c>
      <c r="C155" s="107">
        <v>9540</v>
      </c>
      <c r="D155" s="107">
        <v>5040</v>
      </c>
      <c r="E155" s="113">
        <v>0</v>
      </c>
      <c r="F155" s="113">
        <v>0</v>
      </c>
      <c r="G155" s="113">
        <v>0</v>
      </c>
      <c r="H155" s="113">
        <v>0</v>
      </c>
      <c r="I155" s="113">
        <v>0</v>
      </c>
      <c r="J155" s="113">
        <v>0</v>
      </c>
      <c r="K155" s="113">
        <v>0</v>
      </c>
      <c r="L155" s="113">
        <v>0</v>
      </c>
      <c r="M155" s="113">
        <v>0</v>
      </c>
    </row>
    <row r="156" spans="1:13" s="114" customFormat="1">
      <c r="A156" s="107">
        <v>1540</v>
      </c>
      <c r="B156" s="107">
        <v>1550</v>
      </c>
      <c r="C156" s="107">
        <v>9740</v>
      </c>
      <c r="D156" s="107">
        <v>5240</v>
      </c>
      <c r="E156" s="113">
        <v>0</v>
      </c>
      <c r="F156" s="113">
        <v>0</v>
      </c>
      <c r="G156" s="113">
        <v>0</v>
      </c>
      <c r="H156" s="113">
        <v>0</v>
      </c>
      <c r="I156" s="113">
        <v>0</v>
      </c>
      <c r="J156" s="113">
        <v>0</v>
      </c>
      <c r="K156" s="113">
        <v>0</v>
      </c>
      <c r="L156" s="113">
        <v>0</v>
      </c>
      <c r="M156" s="113">
        <v>0</v>
      </c>
    </row>
    <row r="157" spans="1:13" s="114" customFormat="1">
      <c r="A157" s="107">
        <v>1550</v>
      </c>
      <c r="B157" s="107">
        <v>1560</v>
      </c>
      <c r="C157" s="107">
        <v>9950</v>
      </c>
      <c r="D157" s="107">
        <v>5450</v>
      </c>
      <c r="E157" s="113">
        <v>0</v>
      </c>
      <c r="F157" s="113">
        <v>0</v>
      </c>
      <c r="G157" s="113">
        <v>0</v>
      </c>
      <c r="H157" s="113">
        <v>0</v>
      </c>
      <c r="I157" s="113">
        <v>0</v>
      </c>
      <c r="J157" s="113">
        <v>0</v>
      </c>
      <c r="K157" s="113">
        <v>0</v>
      </c>
      <c r="L157" s="113">
        <v>0</v>
      </c>
      <c r="M157" s="113">
        <v>0</v>
      </c>
    </row>
    <row r="158" spans="1:13" s="114" customFormat="1">
      <c r="A158" s="108">
        <v>1560</v>
      </c>
      <c r="B158" s="108">
        <v>1570</v>
      </c>
      <c r="C158" s="108">
        <v>10160</v>
      </c>
      <c r="D158" s="108">
        <v>5660</v>
      </c>
      <c r="E158" s="113">
        <v>0</v>
      </c>
      <c r="F158" s="113">
        <v>0</v>
      </c>
      <c r="G158" s="113">
        <v>0</v>
      </c>
      <c r="H158" s="113">
        <v>0</v>
      </c>
      <c r="I158" s="113">
        <v>0</v>
      </c>
      <c r="J158" s="113">
        <v>0</v>
      </c>
      <c r="K158" s="113">
        <v>0</v>
      </c>
      <c r="L158" s="113">
        <v>0</v>
      </c>
      <c r="M158" s="113">
        <v>0</v>
      </c>
    </row>
    <row r="159" spans="1:13" s="114" customFormat="1">
      <c r="A159" s="107">
        <v>1570</v>
      </c>
      <c r="B159" s="107">
        <v>1580</v>
      </c>
      <c r="C159" s="107">
        <v>10360</v>
      </c>
      <c r="D159" s="107">
        <v>5860</v>
      </c>
      <c r="E159" s="113">
        <v>0</v>
      </c>
      <c r="F159" s="113">
        <v>0</v>
      </c>
      <c r="G159" s="113">
        <v>0</v>
      </c>
      <c r="H159" s="113">
        <v>0</v>
      </c>
      <c r="I159" s="113">
        <v>0</v>
      </c>
      <c r="J159" s="113">
        <v>0</v>
      </c>
      <c r="K159" s="113">
        <v>0</v>
      </c>
      <c r="L159" s="113">
        <v>0</v>
      </c>
      <c r="M159" s="113">
        <v>0</v>
      </c>
    </row>
    <row r="160" spans="1:13" s="114" customFormat="1">
      <c r="A160" s="107">
        <v>1580</v>
      </c>
      <c r="B160" s="107">
        <v>1590</v>
      </c>
      <c r="C160" s="107">
        <v>10570</v>
      </c>
      <c r="D160" s="107">
        <v>6070</v>
      </c>
      <c r="E160" s="113">
        <v>0</v>
      </c>
      <c r="F160" s="113">
        <v>0</v>
      </c>
      <c r="G160" s="113">
        <v>0</v>
      </c>
      <c r="H160" s="113">
        <v>0</v>
      </c>
      <c r="I160" s="113">
        <v>0</v>
      </c>
      <c r="J160" s="113">
        <v>0</v>
      </c>
      <c r="K160" s="113">
        <v>0</v>
      </c>
      <c r="L160" s="113">
        <v>0</v>
      </c>
      <c r="M160" s="113">
        <v>0</v>
      </c>
    </row>
    <row r="161" spans="1:13" s="114" customFormat="1">
      <c r="A161" s="107">
        <v>1590</v>
      </c>
      <c r="B161" s="107">
        <v>1600</v>
      </c>
      <c r="C161" s="107">
        <v>10780</v>
      </c>
      <c r="D161" s="107">
        <v>6280</v>
      </c>
      <c r="E161" s="113">
        <v>0</v>
      </c>
      <c r="F161" s="113">
        <v>0</v>
      </c>
      <c r="G161" s="113">
        <v>0</v>
      </c>
      <c r="H161" s="113">
        <v>0</v>
      </c>
      <c r="I161" s="113">
        <v>0</v>
      </c>
      <c r="J161" s="113">
        <v>0</v>
      </c>
      <c r="K161" s="113">
        <v>0</v>
      </c>
      <c r="L161" s="113">
        <v>0</v>
      </c>
      <c r="M161" s="113">
        <v>0</v>
      </c>
    </row>
    <row r="162" spans="1:13" s="114" customFormat="1">
      <c r="A162" s="107">
        <v>1600</v>
      </c>
      <c r="B162" s="107">
        <v>1610</v>
      </c>
      <c r="C162" s="107">
        <v>10980</v>
      </c>
      <c r="D162" s="107">
        <v>6480</v>
      </c>
      <c r="E162" s="113">
        <v>0</v>
      </c>
      <c r="F162" s="113">
        <v>0</v>
      </c>
      <c r="G162" s="113">
        <v>0</v>
      </c>
      <c r="H162" s="113">
        <v>0</v>
      </c>
      <c r="I162" s="113">
        <v>0</v>
      </c>
      <c r="J162" s="113">
        <v>0</v>
      </c>
      <c r="K162" s="113">
        <v>0</v>
      </c>
      <c r="L162" s="113">
        <v>0</v>
      </c>
      <c r="M162" s="113">
        <v>0</v>
      </c>
    </row>
    <row r="163" spans="1:13" s="114" customFormat="1">
      <c r="A163" s="107">
        <v>1610</v>
      </c>
      <c r="B163" s="107">
        <v>1620</v>
      </c>
      <c r="C163" s="107">
        <v>11190</v>
      </c>
      <c r="D163" s="107">
        <v>6690</v>
      </c>
      <c r="E163" s="113">
        <v>0</v>
      </c>
      <c r="F163" s="113">
        <v>0</v>
      </c>
      <c r="G163" s="113">
        <v>0</v>
      </c>
      <c r="H163" s="113">
        <v>0</v>
      </c>
      <c r="I163" s="113">
        <v>0</v>
      </c>
      <c r="J163" s="113">
        <v>0</v>
      </c>
      <c r="K163" s="113">
        <v>0</v>
      </c>
      <c r="L163" s="113">
        <v>0</v>
      </c>
      <c r="M163" s="113">
        <v>0</v>
      </c>
    </row>
    <row r="164" spans="1:13" s="114" customFormat="1">
      <c r="A164" s="107">
        <v>1620</v>
      </c>
      <c r="B164" s="107">
        <v>1630</v>
      </c>
      <c r="C164" s="107">
        <v>11400</v>
      </c>
      <c r="D164" s="107">
        <v>6900</v>
      </c>
      <c r="E164" s="113">
        <v>0</v>
      </c>
      <c r="F164" s="113">
        <v>0</v>
      </c>
      <c r="G164" s="113">
        <v>0</v>
      </c>
      <c r="H164" s="113">
        <v>0</v>
      </c>
      <c r="I164" s="113">
        <v>0</v>
      </c>
      <c r="J164" s="113">
        <v>0</v>
      </c>
      <c r="K164" s="113">
        <v>0</v>
      </c>
      <c r="L164" s="113">
        <v>0</v>
      </c>
      <c r="M164" s="113">
        <v>0</v>
      </c>
    </row>
    <row r="165" spans="1:13" s="114" customFormat="1">
      <c r="A165" s="107">
        <v>1630</v>
      </c>
      <c r="B165" s="107">
        <v>1640</v>
      </c>
      <c r="C165" s="107">
        <v>11600</v>
      </c>
      <c r="D165" s="107">
        <v>7100</v>
      </c>
      <c r="E165" s="113">
        <v>0</v>
      </c>
      <c r="F165" s="113">
        <v>0</v>
      </c>
      <c r="G165" s="113">
        <v>0</v>
      </c>
      <c r="H165" s="113">
        <v>0</v>
      </c>
      <c r="I165" s="113">
        <v>0</v>
      </c>
      <c r="J165" s="113">
        <v>0</v>
      </c>
      <c r="K165" s="113">
        <v>0</v>
      </c>
      <c r="L165" s="113">
        <v>0</v>
      </c>
      <c r="M165" s="113">
        <v>0</v>
      </c>
    </row>
    <row r="166" spans="1:13" s="114" customFormat="1">
      <c r="A166" s="107">
        <v>1640</v>
      </c>
      <c r="B166" s="107">
        <v>1650</v>
      </c>
      <c r="C166" s="107">
        <v>11810</v>
      </c>
      <c r="D166" s="107">
        <v>7310</v>
      </c>
      <c r="E166" s="113">
        <v>0</v>
      </c>
      <c r="F166" s="113">
        <v>0</v>
      </c>
      <c r="G166" s="113">
        <v>0</v>
      </c>
      <c r="H166" s="113">
        <v>0</v>
      </c>
      <c r="I166" s="113">
        <v>0</v>
      </c>
      <c r="J166" s="113">
        <v>0</v>
      </c>
      <c r="K166" s="113">
        <v>0</v>
      </c>
      <c r="L166" s="113">
        <v>0</v>
      </c>
      <c r="M166" s="113">
        <v>0</v>
      </c>
    </row>
    <row r="167" spans="1:13" s="114" customFormat="1">
      <c r="A167" s="107">
        <v>1650</v>
      </c>
      <c r="B167" s="107">
        <v>1660</v>
      </c>
      <c r="C167" s="107">
        <v>12020</v>
      </c>
      <c r="D167" s="107">
        <v>7520</v>
      </c>
      <c r="E167" s="113">
        <v>0</v>
      </c>
      <c r="F167" s="113">
        <v>0</v>
      </c>
      <c r="G167" s="113">
        <v>0</v>
      </c>
      <c r="H167" s="113">
        <v>0</v>
      </c>
      <c r="I167" s="113">
        <v>0</v>
      </c>
      <c r="J167" s="113">
        <v>0</v>
      </c>
      <c r="K167" s="113">
        <v>0</v>
      </c>
      <c r="L167" s="113">
        <v>0</v>
      </c>
      <c r="M167" s="113">
        <v>0</v>
      </c>
    </row>
    <row r="168" spans="1:13" s="114" customFormat="1">
      <c r="A168" s="107">
        <v>1660</v>
      </c>
      <c r="B168" s="107">
        <v>1670</v>
      </c>
      <c r="C168" s="107">
        <v>12220</v>
      </c>
      <c r="D168" s="107">
        <v>7720</v>
      </c>
      <c r="E168" s="113">
        <v>0</v>
      </c>
      <c r="F168" s="113">
        <v>0</v>
      </c>
      <c r="G168" s="113">
        <v>0</v>
      </c>
      <c r="H168" s="113">
        <v>0</v>
      </c>
      <c r="I168" s="113">
        <v>0</v>
      </c>
      <c r="J168" s="113">
        <v>0</v>
      </c>
      <c r="K168" s="113">
        <v>0</v>
      </c>
      <c r="L168" s="113">
        <v>0</v>
      </c>
      <c r="M168" s="113">
        <v>0</v>
      </c>
    </row>
    <row r="169" spans="1:13" s="114" customFormat="1">
      <c r="A169" s="107">
        <v>1670</v>
      </c>
      <c r="B169" s="107">
        <v>1680</v>
      </c>
      <c r="C169" s="107">
        <v>12430</v>
      </c>
      <c r="D169" s="107">
        <v>7930</v>
      </c>
      <c r="E169" s="113">
        <v>0</v>
      </c>
      <c r="F169" s="113">
        <v>0</v>
      </c>
      <c r="G169" s="113">
        <v>0</v>
      </c>
      <c r="H169" s="113">
        <v>0</v>
      </c>
      <c r="I169" s="113">
        <v>0</v>
      </c>
      <c r="J169" s="113">
        <v>0</v>
      </c>
      <c r="K169" s="113">
        <v>0</v>
      </c>
      <c r="L169" s="113">
        <v>0</v>
      </c>
      <c r="M169" s="113">
        <v>0</v>
      </c>
    </row>
    <row r="170" spans="1:13" s="114" customFormat="1">
      <c r="A170" s="107">
        <v>1680</v>
      </c>
      <c r="B170" s="107">
        <v>1690</v>
      </c>
      <c r="C170" s="107">
        <v>12640</v>
      </c>
      <c r="D170" s="107">
        <v>8140</v>
      </c>
      <c r="E170" s="113">
        <v>0</v>
      </c>
      <c r="F170" s="113">
        <v>0</v>
      </c>
      <c r="G170" s="113">
        <v>0</v>
      </c>
      <c r="H170" s="113">
        <v>0</v>
      </c>
      <c r="I170" s="113">
        <v>0</v>
      </c>
      <c r="J170" s="113">
        <v>0</v>
      </c>
      <c r="K170" s="113">
        <v>0</v>
      </c>
      <c r="L170" s="113">
        <v>0</v>
      </c>
      <c r="M170" s="113">
        <v>0</v>
      </c>
    </row>
    <row r="171" spans="1:13" s="114" customFormat="1">
      <c r="A171" s="107">
        <v>1690</v>
      </c>
      <c r="B171" s="107">
        <v>1700</v>
      </c>
      <c r="C171" s="107">
        <v>12840</v>
      </c>
      <c r="D171" s="107">
        <v>8340</v>
      </c>
      <c r="E171" s="113">
        <v>0</v>
      </c>
      <c r="F171" s="113">
        <v>0</v>
      </c>
      <c r="G171" s="113">
        <v>0</v>
      </c>
      <c r="H171" s="113">
        <v>0</v>
      </c>
      <c r="I171" s="113">
        <v>0</v>
      </c>
      <c r="J171" s="113">
        <v>0</v>
      </c>
      <c r="K171" s="113">
        <v>0</v>
      </c>
      <c r="L171" s="113">
        <v>0</v>
      </c>
      <c r="M171" s="113">
        <v>0</v>
      </c>
    </row>
    <row r="172" spans="1:13" s="114" customFormat="1">
      <c r="A172" s="107">
        <v>1700</v>
      </c>
      <c r="B172" s="107">
        <v>1710</v>
      </c>
      <c r="C172" s="107">
        <v>13050</v>
      </c>
      <c r="D172" s="107">
        <v>8550</v>
      </c>
      <c r="E172" s="113">
        <v>0</v>
      </c>
      <c r="F172" s="113">
        <v>0</v>
      </c>
      <c r="G172" s="113">
        <v>0</v>
      </c>
      <c r="H172" s="113">
        <v>0</v>
      </c>
      <c r="I172" s="113">
        <v>0</v>
      </c>
      <c r="J172" s="113">
        <v>0</v>
      </c>
      <c r="K172" s="113">
        <v>0</v>
      </c>
      <c r="L172" s="113">
        <v>0</v>
      </c>
      <c r="M172" s="113">
        <v>0</v>
      </c>
    </row>
    <row r="173" spans="1:13" s="114" customFormat="1">
      <c r="A173" s="107">
        <v>1710</v>
      </c>
      <c r="B173" s="107">
        <v>1720</v>
      </c>
      <c r="C173" s="107">
        <v>13260</v>
      </c>
      <c r="D173" s="107">
        <v>8760</v>
      </c>
      <c r="E173" s="113">
        <v>0</v>
      </c>
      <c r="F173" s="113">
        <v>0</v>
      </c>
      <c r="G173" s="113">
        <v>0</v>
      </c>
      <c r="H173" s="113">
        <v>0</v>
      </c>
      <c r="I173" s="113">
        <v>0</v>
      </c>
      <c r="J173" s="113">
        <v>0</v>
      </c>
      <c r="K173" s="113">
        <v>0</v>
      </c>
      <c r="L173" s="113">
        <v>0</v>
      </c>
      <c r="M173" s="113">
        <v>0</v>
      </c>
    </row>
    <row r="174" spans="1:13" s="114" customFormat="1">
      <c r="A174" s="107">
        <v>1720</v>
      </c>
      <c r="B174" s="107">
        <v>1730</v>
      </c>
      <c r="C174" s="107">
        <v>13460</v>
      </c>
      <c r="D174" s="107">
        <v>8960</v>
      </c>
      <c r="E174" s="107">
        <v>1040</v>
      </c>
      <c r="F174" s="113">
        <v>0</v>
      </c>
      <c r="G174" s="113">
        <v>0</v>
      </c>
      <c r="H174" s="113">
        <v>0</v>
      </c>
      <c r="I174" s="113">
        <v>0</v>
      </c>
      <c r="J174" s="113">
        <v>0</v>
      </c>
      <c r="K174" s="113">
        <v>0</v>
      </c>
      <c r="L174" s="113">
        <v>0</v>
      </c>
      <c r="M174" s="113">
        <v>0</v>
      </c>
    </row>
    <row r="175" spans="1:13" s="114" customFormat="1">
      <c r="A175" s="107">
        <v>1730</v>
      </c>
      <c r="B175" s="107">
        <v>1740</v>
      </c>
      <c r="C175" s="107">
        <v>13670</v>
      </c>
      <c r="D175" s="107">
        <v>9170</v>
      </c>
      <c r="E175" s="107">
        <v>1240</v>
      </c>
      <c r="F175" s="113">
        <v>0</v>
      </c>
      <c r="G175" s="113">
        <v>0</v>
      </c>
      <c r="H175" s="113">
        <v>0</v>
      </c>
      <c r="I175" s="113">
        <v>0</v>
      </c>
      <c r="J175" s="113">
        <v>0</v>
      </c>
      <c r="K175" s="113">
        <v>0</v>
      </c>
      <c r="L175" s="113">
        <v>0</v>
      </c>
      <c r="M175" s="113">
        <v>0</v>
      </c>
    </row>
    <row r="176" spans="1:13" s="114" customFormat="1">
      <c r="A176" s="107">
        <v>1740</v>
      </c>
      <c r="B176" s="107">
        <v>1750</v>
      </c>
      <c r="C176" s="107">
        <v>13880</v>
      </c>
      <c r="D176" s="107">
        <v>9380</v>
      </c>
      <c r="E176" s="107">
        <v>1440</v>
      </c>
      <c r="F176" s="113">
        <v>0</v>
      </c>
      <c r="G176" s="113">
        <v>0</v>
      </c>
      <c r="H176" s="113">
        <v>0</v>
      </c>
      <c r="I176" s="113">
        <v>0</v>
      </c>
      <c r="J176" s="113">
        <v>0</v>
      </c>
      <c r="K176" s="113">
        <v>0</v>
      </c>
      <c r="L176" s="113">
        <v>0</v>
      </c>
      <c r="M176" s="113">
        <v>0</v>
      </c>
    </row>
    <row r="177" spans="1:13" s="114" customFormat="1">
      <c r="A177" s="107">
        <v>1750</v>
      </c>
      <c r="B177" s="107">
        <v>1760</v>
      </c>
      <c r="C177" s="107">
        <v>14080</v>
      </c>
      <c r="D177" s="107">
        <v>9580</v>
      </c>
      <c r="E177" s="107">
        <v>1640</v>
      </c>
      <c r="F177" s="113">
        <v>0</v>
      </c>
      <c r="G177" s="113">
        <v>0</v>
      </c>
      <c r="H177" s="113">
        <v>0</v>
      </c>
      <c r="I177" s="113">
        <v>0</v>
      </c>
      <c r="J177" s="113">
        <v>0</v>
      </c>
      <c r="K177" s="113">
        <v>0</v>
      </c>
      <c r="L177" s="113">
        <v>0</v>
      </c>
      <c r="M177" s="113">
        <v>0</v>
      </c>
    </row>
    <row r="178" spans="1:13" s="114" customFormat="1">
      <c r="A178" s="107">
        <v>1760</v>
      </c>
      <c r="B178" s="107">
        <v>1770</v>
      </c>
      <c r="C178" s="107">
        <v>14290</v>
      </c>
      <c r="D178" s="107">
        <v>9790</v>
      </c>
      <c r="E178" s="107">
        <v>1830</v>
      </c>
      <c r="F178" s="113">
        <v>0</v>
      </c>
      <c r="G178" s="113">
        <v>0</v>
      </c>
      <c r="H178" s="113">
        <v>0</v>
      </c>
      <c r="I178" s="113">
        <v>0</v>
      </c>
      <c r="J178" s="113">
        <v>0</v>
      </c>
      <c r="K178" s="113">
        <v>0</v>
      </c>
      <c r="L178" s="113">
        <v>0</v>
      </c>
      <c r="M178" s="113">
        <v>0</v>
      </c>
    </row>
    <row r="179" spans="1:13" s="114" customFormat="1">
      <c r="A179" s="107">
        <v>1770</v>
      </c>
      <c r="B179" s="107">
        <v>1780</v>
      </c>
      <c r="C179" s="107">
        <v>14500</v>
      </c>
      <c r="D179" s="107">
        <v>10000</v>
      </c>
      <c r="E179" s="107">
        <v>2030</v>
      </c>
      <c r="F179" s="113">
        <v>0</v>
      </c>
      <c r="G179" s="113">
        <v>0</v>
      </c>
      <c r="H179" s="113">
        <v>0</v>
      </c>
      <c r="I179" s="113">
        <v>0</v>
      </c>
      <c r="J179" s="113">
        <v>0</v>
      </c>
      <c r="K179" s="113">
        <v>0</v>
      </c>
      <c r="L179" s="113">
        <v>0</v>
      </c>
      <c r="M179" s="113">
        <v>0</v>
      </c>
    </row>
    <row r="180" spans="1:13" s="114" customFormat="1">
      <c r="A180" s="107">
        <v>1780</v>
      </c>
      <c r="B180" s="107">
        <v>1790</v>
      </c>
      <c r="C180" s="107">
        <v>14700</v>
      </c>
      <c r="D180" s="107">
        <v>10200</v>
      </c>
      <c r="E180" s="107">
        <v>2230</v>
      </c>
      <c r="F180" s="113">
        <v>0</v>
      </c>
      <c r="G180" s="113">
        <v>0</v>
      </c>
      <c r="H180" s="113">
        <v>0</v>
      </c>
      <c r="I180" s="113">
        <v>0</v>
      </c>
      <c r="J180" s="113">
        <v>0</v>
      </c>
      <c r="K180" s="113">
        <v>0</v>
      </c>
      <c r="L180" s="113">
        <v>0</v>
      </c>
      <c r="M180" s="113">
        <v>0</v>
      </c>
    </row>
    <row r="181" spans="1:13" s="114" customFormat="1">
      <c r="A181" s="107">
        <v>1790</v>
      </c>
      <c r="B181" s="107">
        <v>1800</v>
      </c>
      <c r="C181" s="107">
        <v>14910</v>
      </c>
      <c r="D181" s="107">
        <v>10410</v>
      </c>
      <c r="E181" s="107">
        <v>2430</v>
      </c>
      <c r="F181" s="113">
        <v>0</v>
      </c>
      <c r="G181" s="113">
        <v>0</v>
      </c>
      <c r="H181" s="113">
        <v>0</v>
      </c>
      <c r="I181" s="113">
        <v>0</v>
      </c>
      <c r="J181" s="113">
        <v>0</v>
      </c>
      <c r="K181" s="113">
        <v>0</v>
      </c>
      <c r="L181" s="113">
        <v>0</v>
      </c>
      <c r="M181" s="113">
        <v>0</v>
      </c>
    </row>
    <row r="182" spans="1:13" s="114" customFormat="1">
      <c r="A182" s="107">
        <v>1800</v>
      </c>
      <c r="B182" s="107">
        <v>1810</v>
      </c>
      <c r="C182" s="107">
        <v>15110</v>
      </c>
      <c r="D182" s="107">
        <v>10610</v>
      </c>
      <c r="E182" s="107">
        <v>2630</v>
      </c>
      <c r="F182" s="113">
        <v>0</v>
      </c>
      <c r="G182" s="113">
        <v>0</v>
      </c>
      <c r="H182" s="113">
        <v>0</v>
      </c>
      <c r="I182" s="113">
        <v>0</v>
      </c>
      <c r="J182" s="113">
        <v>0</v>
      </c>
      <c r="K182" s="113">
        <v>0</v>
      </c>
      <c r="L182" s="113">
        <v>0</v>
      </c>
      <c r="M182" s="113">
        <v>0</v>
      </c>
    </row>
    <row r="183" spans="1:13" s="114" customFormat="1">
      <c r="A183" s="107">
        <v>1810</v>
      </c>
      <c r="B183" s="107">
        <v>1820</v>
      </c>
      <c r="C183" s="107">
        <v>15320</v>
      </c>
      <c r="D183" s="107">
        <v>10820</v>
      </c>
      <c r="E183" s="107">
        <v>2830</v>
      </c>
      <c r="F183" s="113">
        <v>0</v>
      </c>
      <c r="G183" s="113">
        <v>0</v>
      </c>
      <c r="H183" s="113">
        <v>0</v>
      </c>
      <c r="I183" s="113">
        <v>0</v>
      </c>
      <c r="J183" s="113">
        <v>0</v>
      </c>
      <c r="K183" s="113">
        <v>0</v>
      </c>
      <c r="L183" s="113">
        <v>0</v>
      </c>
      <c r="M183" s="113">
        <v>0</v>
      </c>
    </row>
    <row r="184" spans="1:13" s="114" customFormat="1">
      <c r="A184" s="107">
        <v>1820</v>
      </c>
      <c r="B184" s="107">
        <v>1830</v>
      </c>
      <c r="C184" s="107">
        <v>15530</v>
      </c>
      <c r="D184" s="107">
        <v>11030</v>
      </c>
      <c r="E184" s="107">
        <v>3020</v>
      </c>
      <c r="F184" s="113">
        <v>0</v>
      </c>
      <c r="G184" s="113">
        <v>0</v>
      </c>
      <c r="H184" s="113">
        <v>0</v>
      </c>
      <c r="I184" s="113">
        <v>0</v>
      </c>
      <c r="J184" s="113">
        <v>0</v>
      </c>
      <c r="K184" s="113">
        <v>0</v>
      </c>
      <c r="L184" s="113">
        <v>0</v>
      </c>
      <c r="M184" s="113">
        <v>0</v>
      </c>
    </row>
    <row r="185" spans="1:13" s="114" customFormat="1">
      <c r="A185" s="107">
        <v>1830</v>
      </c>
      <c r="B185" s="107">
        <v>1840</v>
      </c>
      <c r="C185" s="107">
        <v>15730</v>
      </c>
      <c r="D185" s="107">
        <v>11230</v>
      </c>
      <c r="E185" s="107">
        <v>3220</v>
      </c>
      <c r="F185" s="113">
        <v>0</v>
      </c>
      <c r="G185" s="113">
        <v>0</v>
      </c>
      <c r="H185" s="113">
        <v>0</v>
      </c>
      <c r="I185" s="113">
        <v>0</v>
      </c>
      <c r="J185" s="113">
        <v>0</v>
      </c>
      <c r="K185" s="113">
        <v>0</v>
      </c>
      <c r="L185" s="113">
        <v>0</v>
      </c>
      <c r="M185" s="113">
        <v>0</v>
      </c>
    </row>
    <row r="186" spans="1:13" s="114" customFormat="1">
      <c r="A186" s="107">
        <v>1840</v>
      </c>
      <c r="B186" s="107">
        <v>1850</v>
      </c>
      <c r="C186" s="107">
        <v>15940</v>
      </c>
      <c r="D186" s="107">
        <v>11440</v>
      </c>
      <c r="E186" s="107">
        <v>3420</v>
      </c>
      <c r="F186" s="113">
        <v>0</v>
      </c>
      <c r="G186" s="113">
        <v>0</v>
      </c>
      <c r="H186" s="113">
        <v>0</v>
      </c>
      <c r="I186" s="113">
        <v>0</v>
      </c>
      <c r="J186" s="113">
        <v>0</v>
      </c>
      <c r="K186" s="113">
        <v>0</v>
      </c>
      <c r="L186" s="113">
        <v>0</v>
      </c>
      <c r="M186" s="113">
        <v>0</v>
      </c>
    </row>
    <row r="187" spans="1:13" s="114" customFormat="1">
      <c r="A187" s="107">
        <v>1850</v>
      </c>
      <c r="B187" s="107">
        <v>1860</v>
      </c>
      <c r="C187" s="107">
        <v>16150</v>
      </c>
      <c r="D187" s="107">
        <v>11650</v>
      </c>
      <c r="E187" s="107">
        <v>3620</v>
      </c>
      <c r="F187" s="113">
        <v>0</v>
      </c>
      <c r="G187" s="113">
        <v>0</v>
      </c>
      <c r="H187" s="113">
        <v>0</v>
      </c>
      <c r="I187" s="113">
        <v>0</v>
      </c>
      <c r="J187" s="113">
        <v>0</v>
      </c>
      <c r="K187" s="113">
        <v>0</v>
      </c>
      <c r="L187" s="113">
        <v>0</v>
      </c>
      <c r="M187" s="113">
        <v>0</v>
      </c>
    </row>
    <row r="188" spans="1:13" s="114" customFormat="1">
      <c r="A188" s="107">
        <v>1860</v>
      </c>
      <c r="B188" s="107">
        <v>1870</v>
      </c>
      <c r="C188" s="107">
        <v>16350</v>
      </c>
      <c r="D188" s="107">
        <v>11850</v>
      </c>
      <c r="E188" s="107">
        <v>3820</v>
      </c>
      <c r="F188" s="113">
        <v>0</v>
      </c>
      <c r="G188" s="113">
        <v>0</v>
      </c>
      <c r="H188" s="113">
        <v>0</v>
      </c>
      <c r="I188" s="113">
        <v>0</v>
      </c>
      <c r="J188" s="113">
        <v>0</v>
      </c>
      <c r="K188" s="113">
        <v>0</v>
      </c>
      <c r="L188" s="113">
        <v>0</v>
      </c>
      <c r="M188" s="113">
        <v>0</v>
      </c>
    </row>
    <row r="189" spans="1:13" s="114" customFormat="1">
      <c r="A189" s="107">
        <v>1870</v>
      </c>
      <c r="B189" s="107">
        <v>1880</v>
      </c>
      <c r="C189" s="107">
        <v>16560</v>
      </c>
      <c r="D189" s="107">
        <v>12060</v>
      </c>
      <c r="E189" s="107">
        <v>4020</v>
      </c>
      <c r="F189" s="113">
        <v>0</v>
      </c>
      <c r="G189" s="113">
        <v>0</v>
      </c>
      <c r="H189" s="113">
        <v>0</v>
      </c>
      <c r="I189" s="113">
        <v>0</v>
      </c>
      <c r="J189" s="113">
        <v>0</v>
      </c>
      <c r="K189" s="113">
        <v>0</v>
      </c>
      <c r="L189" s="113">
        <v>0</v>
      </c>
      <c r="M189" s="113">
        <v>0</v>
      </c>
    </row>
    <row r="190" spans="1:13" s="114" customFormat="1">
      <c r="A190" s="107">
        <v>1880</v>
      </c>
      <c r="B190" s="107">
        <v>1890</v>
      </c>
      <c r="C190" s="107">
        <v>16770</v>
      </c>
      <c r="D190" s="107">
        <v>12270</v>
      </c>
      <c r="E190" s="107">
        <v>4220</v>
      </c>
      <c r="F190" s="113">
        <v>0</v>
      </c>
      <c r="G190" s="113">
        <v>0</v>
      </c>
      <c r="H190" s="113">
        <v>0</v>
      </c>
      <c r="I190" s="113">
        <v>0</v>
      </c>
      <c r="J190" s="113">
        <v>0</v>
      </c>
      <c r="K190" s="113">
        <v>0</v>
      </c>
      <c r="L190" s="113">
        <v>0</v>
      </c>
      <c r="M190" s="113">
        <v>0</v>
      </c>
    </row>
    <row r="191" spans="1:13" s="114" customFormat="1">
      <c r="A191" s="107">
        <v>1890</v>
      </c>
      <c r="B191" s="107">
        <v>1900</v>
      </c>
      <c r="C191" s="107">
        <v>16970</v>
      </c>
      <c r="D191" s="107">
        <v>12470</v>
      </c>
      <c r="E191" s="107">
        <v>4410</v>
      </c>
      <c r="F191" s="107">
        <v>1040</v>
      </c>
      <c r="G191" s="113">
        <v>0</v>
      </c>
      <c r="H191" s="113">
        <v>0</v>
      </c>
      <c r="I191" s="113">
        <v>0</v>
      </c>
      <c r="J191" s="113">
        <v>0</v>
      </c>
      <c r="K191" s="113">
        <v>0</v>
      </c>
      <c r="L191" s="113">
        <v>0</v>
      </c>
      <c r="M191" s="113">
        <v>0</v>
      </c>
    </row>
    <row r="192" spans="1:13" s="114" customFormat="1">
      <c r="A192" s="107">
        <v>1900</v>
      </c>
      <c r="B192" s="107">
        <v>1910</v>
      </c>
      <c r="C192" s="107">
        <v>17180</v>
      </c>
      <c r="D192" s="107">
        <v>12680</v>
      </c>
      <c r="E192" s="107">
        <v>4610</v>
      </c>
      <c r="F192" s="107">
        <v>1240</v>
      </c>
      <c r="G192" s="113">
        <v>0</v>
      </c>
      <c r="H192" s="113">
        <v>0</v>
      </c>
      <c r="I192" s="113">
        <v>0</v>
      </c>
      <c r="J192" s="113">
        <v>0</v>
      </c>
      <c r="K192" s="113">
        <v>0</v>
      </c>
      <c r="L192" s="113">
        <v>0</v>
      </c>
      <c r="M192" s="113">
        <v>0</v>
      </c>
    </row>
    <row r="193" spans="1:13" s="114" customFormat="1">
      <c r="A193" s="107">
        <v>1910</v>
      </c>
      <c r="B193" s="107">
        <v>1920</v>
      </c>
      <c r="C193" s="107">
        <v>17390</v>
      </c>
      <c r="D193" s="107">
        <v>12890</v>
      </c>
      <c r="E193" s="107">
        <v>4810</v>
      </c>
      <c r="F193" s="107">
        <v>1440</v>
      </c>
      <c r="G193" s="113">
        <v>0</v>
      </c>
      <c r="H193" s="113">
        <v>0</v>
      </c>
      <c r="I193" s="113">
        <v>0</v>
      </c>
      <c r="J193" s="113">
        <v>0</v>
      </c>
      <c r="K193" s="113">
        <v>0</v>
      </c>
      <c r="L193" s="113">
        <v>0</v>
      </c>
      <c r="M193" s="113">
        <v>0</v>
      </c>
    </row>
    <row r="194" spans="1:13" s="114" customFormat="1">
      <c r="A194" s="107">
        <v>1920</v>
      </c>
      <c r="B194" s="107">
        <v>1930</v>
      </c>
      <c r="C194" s="107">
        <v>17590</v>
      </c>
      <c r="D194" s="107">
        <v>13090</v>
      </c>
      <c r="E194" s="107">
        <v>5010</v>
      </c>
      <c r="F194" s="107">
        <v>1630</v>
      </c>
      <c r="G194" s="113">
        <v>0</v>
      </c>
      <c r="H194" s="113">
        <v>0</v>
      </c>
      <c r="I194" s="113">
        <v>0</v>
      </c>
      <c r="J194" s="113">
        <v>0</v>
      </c>
      <c r="K194" s="113">
        <v>0</v>
      </c>
      <c r="L194" s="113">
        <v>0</v>
      </c>
      <c r="M194" s="113">
        <v>0</v>
      </c>
    </row>
    <row r="195" spans="1:13" s="114" customFormat="1">
      <c r="A195" s="107">
        <v>1930</v>
      </c>
      <c r="B195" s="107">
        <v>1940</v>
      </c>
      <c r="C195" s="107">
        <v>17800</v>
      </c>
      <c r="D195" s="107">
        <v>13300</v>
      </c>
      <c r="E195" s="107">
        <v>5210</v>
      </c>
      <c r="F195" s="107">
        <v>1830</v>
      </c>
      <c r="G195" s="113">
        <v>0</v>
      </c>
      <c r="H195" s="113">
        <v>0</v>
      </c>
      <c r="I195" s="113">
        <v>0</v>
      </c>
      <c r="J195" s="113">
        <v>0</v>
      </c>
      <c r="K195" s="113">
        <v>0</v>
      </c>
      <c r="L195" s="113">
        <v>0</v>
      </c>
      <c r="M195" s="113">
        <v>0</v>
      </c>
    </row>
    <row r="196" spans="1:13" s="114" customFormat="1">
      <c r="A196" s="107">
        <v>1940</v>
      </c>
      <c r="B196" s="107">
        <v>1950</v>
      </c>
      <c r="C196" s="107">
        <v>18010</v>
      </c>
      <c r="D196" s="107">
        <v>13510</v>
      </c>
      <c r="E196" s="107">
        <v>5410</v>
      </c>
      <c r="F196" s="107">
        <v>2030</v>
      </c>
      <c r="G196" s="113">
        <v>0</v>
      </c>
      <c r="H196" s="113">
        <v>0</v>
      </c>
      <c r="I196" s="113">
        <v>0</v>
      </c>
      <c r="J196" s="113">
        <v>0</v>
      </c>
      <c r="K196" s="113">
        <v>0</v>
      </c>
      <c r="L196" s="113">
        <v>0</v>
      </c>
      <c r="M196" s="113">
        <v>0</v>
      </c>
    </row>
    <row r="197" spans="1:13" s="114" customFormat="1">
      <c r="A197" s="107">
        <v>1950</v>
      </c>
      <c r="B197" s="107">
        <v>1960</v>
      </c>
      <c r="C197" s="107">
        <v>18210</v>
      </c>
      <c r="D197" s="107">
        <v>13710</v>
      </c>
      <c r="E197" s="107">
        <v>5600</v>
      </c>
      <c r="F197" s="107">
        <v>2230</v>
      </c>
      <c r="G197" s="113">
        <v>0</v>
      </c>
      <c r="H197" s="113">
        <v>0</v>
      </c>
      <c r="I197" s="113">
        <v>0</v>
      </c>
      <c r="J197" s="113">
        <v>0</v>
      </c>
      <c r="K197" s="113">
        <v>0</v>
      </c>
      <c r="L197" s="113">
        <v>0</v>
      </c>
      <c r="M197" s="113">
        <v>0</v>
      </c>
    </row>
    <row r="198" spans="1:13" s="114" customFormat="1">
      <c r="A198" s="107">
        <v>1960</v>
      </c>
      <c r="B198" s="107">
        <v>1970</v>
      </c>
      <c r="C198" s="107">
        <v>18420</v>
      </c>
      <c r="D198" s="107">
        <v>13920</v>
      </c>
      <c r="E198" s="107">
        <v>5800</v>
      </c>
      <c r="F198" s="107">
        <v>2430</v>
      </c>
      <c r="G198" s="113">
        <v>0</v>
      </c>
      <c r="H198" s="113">
        <v>0</v>
      </c>
      <c r="I198" s="113">
        <v>0</v>
      </c>
      <c r="J198" s="113">
        <v>0</v>
      </c>
      <c r="K198" s="113">
        <v>0</v>
      </c>
      <c r="L198" s="113">
        <v>0</v>
      </c>
      <c r="M198" s="113">
        <v>0</v>
      </c>
    </row>
    <row r="199" spans="1:13" s="114" customFormat="1">
      <c r="A199" s="107">
        <v>1970</v>
      </c>
      <c r="B199" s="107">
        <v>1980</v>
      </c>
      <c r="C199" s="107">
        <v>18630</v>
      </c>
      <c r="D199" s="107">
        <v>14130</v>
      </c>
      <c r="E199" s="107">
        <v>6000</v>
      </c>
      <c r="F199" s="107">
        <v>2630</v>
      </c>
      <c r="G199" s="113">
        <v>0</v>
      </c>
      <c r="H199" s="113">
        <v>0</v>
      </c>
      <c r="I199" s="113">
        <v>0</v>
      </c>
      <c r="J199" s="113">
        <v>0</v>
      </c>
      <c r="K199" s="113">
        <v>0</v>
      </c>
      <c r="L199" s="113">
        <v>0</v>
      </c>
      <c r="M199" s="113">
        <v>0</v>
      </c>
    </row>
    <row r="200" spans="1:13" s="114" customFormat="1">
      <c r="A200" s="107">
        <v>1980</v>
      </c>
      <c r="B200" s="107">
        <v>1990</v>
      </c>
      <c r="C200" s="107">
        <v>18880</v>
      </c>
      <c r="D200" s="107">
        <v>14330</v>
      </c>
      <c r="E200" s="107">
        <v>6200</v>
      </c>
      <c r="F200" s="107">
        <v>2820</v>
      </c>
      <c r="G200" s="113">
        <v>0</v>
      </c>
      <c r="H200" s="113">
        <v>0</v>
      </c>
      <c r="I200" s="113">
        <v>0</v>
      </c>
      <c r="J200" s="113">
        <v>0</v>
      </c>
      <c r="K200" s="113">
        <v>0</v>
      </c>
      <c r="L200" s="113">
        <v>0</v>
      </c>
      <c r="M200" s="113">
        <v>0</v>
      </c>
    </row>
    <row r="201" spans="1:13" s="114" customFormat="1">
      <c r="A201" s="107">
        <v>1990</v>
      </c>
      <c r="B201" s="107">
        <v>2000</v>
      </c>
      <c r="C201" s="107">
        <v>19200</v>
      </c>
      <c r="D201" s="107">
        <v>14540</v>
      </c>
      <c r="E201" s="107">
        <v>6400</v>
      </c>
      <c r="F201" s="107">
        <v>3020</v>
      </c>
      <c r="G201" s="113">
        <v>0</v>
      </c>
      <c r="H201" s="113">
        <v>0</v>
      </c>
      <c r="I201" s="113">
        <v>0</v>
      </c>
      <c r="J201" s="113">
        <v>0</v>
      </c>
      <c r="K201" s="113">
        <v>0</v>
      </c>
      <c r="L201" s="113">
        <v>0</v>
      </c>
      <c r="M201" s="113">
        <v>0</v>
      </c>
    </row>
    <row r="202" spans="1:13" s="114" customFormat="1">
      <c r="A202" s="107">
        <v>2000</v>
      </c>
      <c r="B202" s="107">
        <v>2010</v>
      </c>
      <c r="C202" s="107">
        <v>19520</v>
      </c>
      <c r="D202" s="107">
        <v>14750</v>
      </c>
      <c r="E202" s="107">
        <v>6600</v>
      </c>
      <c r="F202" s="107">
        <v>3220</v>
      </c>
      <c r="G202" s="113">
        <v>0</v>
      </c>
      <c r="H202" s="113">
        <v>0</v>
      </c>
      <c r="I202" s="113">
        <v>0</v>
      </c>
      <c r="J202" s="113">
        <v>0</v>
      </c>
      <c r="K202" s="113">
        <v>0</v>
      </c>
      <c r="L202" s="113">
        <v>0</v>
      </c>
      <c r="M202" s="113">
        <v>0</v>
      </c>
    </row>
    <row r="203" spans="1:13" s="114" customFormat="1">
      <c r="A203" s="107">
        <v>2010</v>
      </c>
      <c r="B203" s="107">
        <v>2020</v>
      </c>
      <c r="C203" s="107">
        <v>19850</v>
      </c>
      <c r="D203" s="107">
        <v>14950</v>
      </c>
      <c r="E203" s="107">
        <v>6800</v>
      </c>
      <c r="F203" s="107">
        <v>3420</v>
      </c>
      <c r="G203" s="113">
        <v>0</v>
      </c>
      <c r="H203" s="113">
        <v>0</v>
      </c>
      <c r="I203" s="113">
        <v>0</v>
      </c>
      <c r="J203" s="113">
        <v>0</v>
      </c>
      <c r="K203" s="113">
        <v>0</v>
      </c>
      <c r="L203" s="113">
        <v>0</v>
      </c>
      <c r="M203" s="113">
        <v>0</v>
      </c>
    </row>
    <row r="204" spans="1:13" s="114" customFormat="1">
      <c r="A204" s="107">
        <v>2020</v>
      </c>
      <c r="B204" s="107">
        <v>2030</v>
      </c>
      <c r="C204" s="107">
        <v>20170</v>
      </c>
      <c r="D204" s="107">
        <v>15160</v>
      </c>
      <c r="E204" s="107">
        <v>6990</v>
      </c>
      <c r="F204" s="107">
        <v>3620</v>
      </c>
      <c r="G204" s="113">
        <v>0</v>
      </c>
      <c r="H204" s="113">
        <v>0</v>
      </c>
      <c r="I204" s="113">
        <v>0</v>
      </c>
      <c r="J204" s="113">
        <v>0</v>
      </c>
      <c r="K204" s="113">
        <v>0</v>
      </c>
      <c r="L204" s="113">
        <v>0</v>
      </c>
      <c r="M204" s="113">
        <v>0</v>
      </c>
    </row>
    <row r="205" spans="1:13" s="114" customFormat="1">
      <c r="A205" s="107">
        <v>2030</v>
      </c>
      <c r="B205" s="107">
        <v>2040</v>
      </c>
      <c r="C205" s="107">
        <v>20490</v>
      </c>
      <c r="D205" s="107">
        <v>15370</v>
      </c>
      <c r="E205" s="107">
        <v>7190</v>
      </c>
      <c r="F205" s="107">
        <v>3820</v>
      </c>
      <c r="G205" s="113">
        <v>0</v>
      </c>
      <c r="H205" s="113">
        <v>0</v>
      </c>
      <c r="I205" s="113">
        <v>0</v>
      </c>
      <c r="J205" s="113">
        <v>0</v>
      </c>
      <c r="K205" s="113">
        <v>0</v>
      </c>
      <c r="L205" s="113">
        <v>0</v>
      </c>
      <c r="M205" s="113">
        <v>0</v>
      </c>
    </row>
    <row r="206" spans="1:13" s="114" customFormat="1">
      <c r="A206" s="107">
        <v>2040</v>
      </c>
      <c r="B206" s="107">
        <v>2050</v>
      </c>
      <c r="C206" s="107">
        <v>20810</v>
      </c>
      <c r="D206" s="107">
        <v>15570</v>
      </c>
      <c r="E206" s="107">
        <v>7390</v>
      </c>
      <c r="F206" s="107">
        <v>4020</v>
      </c>
      <c r="G206" s="113">
        <v>0</v>
      </c>
      <c r="H206" s="113">
        <v>0</v>
      </c>
      <c r="I206" s="113">
        <v>0</v>
      </c>
      <c r="J206" s="113">
        <v>0</v>
      </c>
      <c r="K206" s="113">
        <v>0</v>
      </c>
      <c r="L206" s="113">
        <v>0</v>
      </c>
      <c r="M206" s="113">
        <v>0</v>
      </c>
    </row>
    <row r="207" spans="1:13" s="114" customFormat="1">
      <c r="A207" s="107">
        <v>2050</v>
      </c>
      <c r="B207" s="107">
        <v>2060</v>
      </c>
      <c r="C207" s="107">
        <v>21130</v>
      </c>
      <c r="D207" s="107">
        <v>15780</v>
      </c>
      <c r="E207" s="107">
        <v>7590</v>
      </c>
      <c r="F207" s="107">
        <v>4210</v>
      </c>
      <c r="G207" s="113">
        <v>0</v>
      </c>
      <c r="H207" s="113">
        <v>0</v>
      </c>
      <c r="I207" s="113">
        <v>0</v>
      </c>
      <c r="J207" s="113">
        <v>0</v>
      </c>
      <c r="K207" s="113">
        <v>0</v>
      </c>
      <c r="L207" s="113">
        <v>0</v>
      </c>
      <c r="M207" s="113">
        <v>0</v>
      </c>
    </row>
    <row r="208" spans="1:13" s="114" customFormat="1">
      <c r="A208" s="107">
        <v>2060</v>
      </c>
      <c r="B208" s="107">
        <v>2070</v>
      </c>
      <c r="C208" s="107">
        <v>21450</v>
      </c>
      <c r="D208" s="107">
        <v>15990</v>
      </c>
      <c r="E208" s="107">
        <v>7790</v>
      </c>
      <c r="F208" s="107">
        <v>4410</v>
      </c>
      <c r="G208" s="107">
        <v>1040</v>
      </c>
      <c r="H208" s="113">
        <v>0</v>
      </c>
      <c r="I208" s="113">
        <v>0</v>
      </c>
      <c r="J208" s="113">
        <v>0</v>
      </c>
      <c r="K208" s="113">
        <v>0</v>
      </c>
      <c r="L208" s="113">
        <v>0</v>
      </c>
      <c r="M208" s="113">
        <v>0</v>
      </c>
    </row>
    <row r="209" spans="1:13" s="114" customFormat="1">
      <c r="A209" s="107">
        <v>2070</v>
      </c>
      <c r="B209" s="107">
        <v>2080</v>
      </c>
      <c r="C209" s="107">
        <v>21770</v>
      </c>
      <c r="D209" s="107">
        <v>16190</v>
      </c>
      <c r="E209" s="107">
        <v>7990</v>
      </c>
      <c r="F209" s="107">
        <v>4610</v>
      </c>
      <c r="G209" s="107">
        <v>1240</v>
      </c>
      <c r="H209" s="113">
        <v>0</v>
      </c>
      <c r="I209" s="113">
        <v>0</v>
      </c>
      <c r="J209" s="113">
        <v>0</v>
      </c>
      <c r="K209" s="113">
        <v>0</v>
      </c>
      <c r="L209" s="113">
        <v>0</v>
      </c>
      <c r="M209" s="113">
        <v>0</v>
      </c>
    </row>
    <row r="210" spans="1:13" s="114" customFormat="1">
      <c r="A210" s="107">
        <v>2080</v>
      </c>
      <c r="B210" s="107">
        <v>2090</v>
      </c>
      <c r="C210" s="107">
        <v>22090</v>
      </c>
      <c r="D210" s="107">
        <v>16400</v>
      </c>
      <c r="E210" s="107">
        <v>8180</v>
      </c>
      <c r="F210" s="107">
        <v>4810</v>
      </c>
      <c r="G210" s="107">
        <v>1430</v>
      </c>
      <c r="H210" s="113">
        <v>0</v>
      </c>
      <c r="I210" s="113">
        <v>0</v>
      </c>
      <c r="J210" s="113">
        <v>0</v>
      </c>
      <c r="K210" s="113">
        <v>0</v>
      </c>
      <c r="L210" s="113">
        <v>0</v>
      </c>
      <c r="M210" s="113">
        <v>0</v>
      </c>
    </row>
    <row r="211" spans="1:13" s="114" customFormat="1">
      <c r="A211" s="107">
        <v>2090</v>
      </c>
      <c r="B211" s="107">
        <v>2100</v>
      </c>
      <c r="C211" s="107">
        <v>22420</v>
      </c>
      <c r="D211" s="107">
        <v>16600</v>
      </c>
      <c r="E211" s="107">
        <v>8380</v>
      </c>
      <c r="F211" s="107">
        <v>5010</v>
      </c>
      <c r="G211" s="107">
        <v>1630</v>
      </c>
      <c r="H211" s="113">
        <v>0</v>
      </c>
      <c r="I211" s="113">
        <v>0</v>
      </c>
      <c r="J211" s="113">
        <v>0</v>
      </c>
      <c r="K211" s="113">
        <v>0</v>
      </c>
      <c r="L211" s="113">
        <v>0</v>
      </c>
      <c r="M211" s="113">
        <v>0</v>
      </c>
    </row>
    <row r="212" spans="1:13" s="114" customFormat="1">
      <c r="A212" s="107">
        <v>2100</v>
      </c>
      <c r="B212" s="107">
        <v>2110</v>
      </c>
      <c r="C212" s="107">
        <v>22740</v>
      </c>
      <c r="D212" s="107">
        <v>16810</v>
      </c>
      <c r="E212" s="107">
        <v>8580</v>
      </c>
      <c r="F212" s="107">
        <v>5210</v>
      </c>
      <c r="G212" s="107">
        <v>1830</v>
      </c>
      <c r="H212" s="113">
        <v>0</v>
      </c>
      <c r="I212" s="113">
        <v>0</v>
      </c>
      <c r="J212" s="113">
        <v>0</v>
      </c>
      <c r="K212" s="113">
        <v>0</v>
      </c>
      <c r="L212" s="113">
        <v>0</v>
      </c>
      <c r="M212" s="113">
        <v>0</v>
      </c>
    </row>
    <row r="213" spans="1:13" s="114" customFormat="1">
      <c r="A213" s="107">
        <v>2110</v>
      </c>
      <c r="B213" s="107">
        <v>2120</v>
      </c>
      <c r="C213" s="107">
        <v>23060</v>
      </c>
      <c r="D213" s="107">
        <v>17020</v>
      </c>
      <c r="E213" s="107">
        <v>8780</v>
      </c>
      <c r="F213" s="107">
        <v>5400</v>
      </c>
      <c r="G213" s="107">
        <v>2030</v>
      </c>
      <c r="H213" s="113">
        <v>0</v>
      </c>
      <c r="I213" s="113">
        <v>0</v>
      </c>
      <c r="J213" s="113">
        <v>0</v>
      </c>
      <c r="K213" s="113">
        <v>0</v>
      </c>
      <c r="L213" s="113">
        <v>0</v>
      </c>
      <c r="M213" s="113">
        <v>0</v>
      </c>
    </row>
    <row r="214" spans="1:13" s="114" customFormat="1">
      <c r="A214" s="107">
        <v>2120</v>
      </c>
      <c r="B214" s="107">
        <v>2130</v>
      </c>
      <c r="C214" s="107">
        <v>23380</v>
      </c>
      <c r="D214" s="107">
        <v>17220</v>
      </c>
      <c r="E214" s="107">
        <v>8980</v>
      </c>
      <c r="F214" s="107">
        <v>5600</v>
      </c>
      <c r="G214" s="107">
        <v>2230</v>
      </c>
      <c r="H214" s="113">
        <v>0</v>
      </c>
      <c r="I214" s="113">
        <v>0</v>
      </c>
      <c r="J214" s="113">
        <v>0</v>
      </c>
      <c r="K214" s="113">
        <v>0</v>
      </c>
      <c r="L214" s="113">
        <v>0</v>
      </c>
      <c r="M214" s="113">
        <v>0</v>
      </c>
    </row>
    <row r="215" spans="1:13" s="114" customFormat="1">
      <c r="A215" s="107">
        <v>2130</v>
      </c>
      <c r="B215" s="107">
        <v>2140</v>
      </c>
      <c r="C215" s="107">
        <v>23700</v>
      </c>
      <c r="D215" s="107">
        <v>17430</v>
      </c>
      <c r="E215" s="107">
        <v>9180</v>
      </c>
      <c r="F215" s="107">
        <v>5800</v>
      </c>
      <c r="G215" s="107">
        <v>2430</v>
      </c>
      <c r="H215" s="113">
        <v>0</v>
      </c>
      <c r="I215" s="113">
        <v>0</v>
      </c>
      <c r="J215" s="113">
        <v>0</v>
      </c>
      <c r="K215" s="113">
        <v>0</v>
      </c>
      <c r="L215" s="113">
        <v>0</v>
      </c>
      <c r="M215" s="113">
        <v>0</v>
      </c>
    </row>
    <row r="216" spans="1:13" s="114" customFormat="1">
      <c r="A216" s="107">
        <v>2140</v>
      </c>
      <c r="B216" s="107">
        <v>2150</v>
      </c>
      <c r="C216" s="107">
        <v>24020</v>
      </c>
      <c r="D216" s="107">
        <v>17640</v>
      </c>
      <c r="E216" s="107">
        <v>9380</v>
      </c>
      <c r="F216" s="107">
        <v>6000</v>
      </c>
      <c r="G216" s="107">
        <v>2630</v>
      </c>
      <c r="H216" s="113">
        <v>0</v>
      </c>
      <c r="I216" s="113">
        <v>0</v>
      </c>
      <c r="J216" s="113">
        <v>0</v>
      </c>
      <c r="K216" s="113">
        <v>0</v>
      </c>
      <c r="L216" s="113">
        <v>0</v>
      </c>
      <c r="M216" s="113">
        <v>0</v>
      </c>
    </row>
    <row r="217" spans="1:13" s="114" customFormat="1">
      <c r="A217" s="107">
        <v>2150</v>
      </c>
      <c r="B217" s="107">
        <v>2160</v>
      </c>
      <c r="C217" s="107">
        <v>24340</v>
      </c>
      <c r="D217" s="107">
        <v>17840</v>
      </c>
      <c r="E217" s="107">
        <v>9570</v>
      </c>
      <c r="F217" s="107">
        <v>6200</v>
      </c>
      <c r="G217" s="107">
        <v>2820</v>
      </c>
      <c r="H217" s="113">
        <v>0</v>
      </c>
      <c r="I217" s="113">
        <v>0</v>
      </c>
      <c r="J217" s="113">
        <v>0</v>
      </c>
      <c r="K217" s="113">
        <v>0</v>
      </c>
      <c r="L217" s="113">
        <v>0</v>
      </c>
      <c r="M217" s="113">
        <v>0</v>
      </c>
    </row>
    <row r="218" spans="1:13" s="114" customFormat="1">
      <c r="A218" s="107">
        <v>2160</v>
      </c>
      <c r="B218" s="107">
        <v>2170</v>
      </c>
      <c r="C218" s="107">
        <v>24660</v>
      </c>
      <c r="D218" s="107">
        <v>18050</v>
      </c>
      <c r="E218" s="107">
        <v>9770</v>
      </c>
      <c r="F218" s="107">
        <v>6400</v>
      </c>
      <c r="G218" s="107">
        <v>3020</v>
      </c>
      <c r="H218" s="113">
        <v>0</v>
      </c>
      <c r="I218" s="113">
        <v>0</v>
      </c>
      <c r="J218" s="113">
        <v>0</v>
      </c>
      <c r="K218" s="113">
        <v>0</v>
      </c>
      <c r="L218" s="113">
        <v>0</v>
      </c>
      <c r="M218" s="113">
        <v>0</v>
      </c>
    </row>
    <row r="219" spans="1:13" s="114" customFormat="1">
      <c r="A219" s="107">
        <v>2170</v>
      </c>
      <c r="B219" s="107">
        <v>2180</v>
      </c>
      <c r="C219" s="107">
        <v>24990</v>
      </c>
      <c r="D219" s="107">
        <v>18260</v>
      </c>
      <c r="E219" s="107">
        <v>9970</v>
      </c>
      <c r="F219" s="107">
        <v>6600</v>
      </c>
      <c r="G219" s="107">
        <v>3220</v>
      </c>
      <c r="H219" s="113">
        <v>0</v>
      </c>
      <c r="I219" s="113">
        <v>0</v>
      </c>
      <c r="J219" s="113">
        <v>0</v>
      </c>
      <c r="K219" s="113">
        <v>0</v>
      </c>
      <c r="L219" s="113">
        <v>0</v>
      </c>
      <c r="M219" s="113">
        <v>0</v>
      </c>
    </row>
    <row r="220" spans="1:13" s="114" customFormat="1">
      <c r="A220" s="107">
        <v>2180</v>
      </c>
      <c r="B220" s="107">
        <v>2190</v>
      </c>
      <c r="C220" s="107">
        <v>25310</v>
      </c>
      <c r="D220" s="107">
        <v>18460</v>
      </c>
      <c r="E220" s="107">
        <v>10170</v>
      </c>
      <c r="F220" s="107">
        <v>6790</v>
      </c>
      <c r="G220" s="107">
        <v>3420</v>
      </c>
      <c r="H220" s="113">
        <v>0</v>
      </c>
      <c r="I220" s="113">
        <v>0</v>
      </c>
      <c r="J220" s="113">
        <v>0</v>
      </c>
      <c r="K220" s="113">
        <v>0</v>
      </c>
      <c r="L220" s="113">
        <v>0</v>
      </c>
      <c r="M220" s="113">
        <v>0</v>
      </c>
    </row>
    <row r="221" spans="1:13" s="114" customFormat="1">
      <c r="A221" s="107">
        <v>2190</v>
      </c>
      <c r="B221" s="107">
        <v>2200</v>
      </c>
      <c r="C221" s="107">
        <v>25630</v>
      </c>
      <c r="D221" s="107">
        <v>18670</v>
      </c>
      <c r="E221" s="107">
        <v>10370</v>
      </c>
      <c r="F221" s="107">
        <v>6990</v>
      </c>
      <c r="G221" s="107">
        <v>3620</v>
      </c>
      <c r="H221" s="113">
        <v>0</v>
      </c>
      <c r="I221" s="113">
        <v>0</v>
      </c>
      <c r="J221" s="113">
        <v>0</v>
      </c>
      <c r="K221" s="113">
        <v>0</v>
      </c>
      <c r="L221" s="113">
        <v>0</v>
      </c>
      <c r="M221" s="113">
        <v>0</v>
      </c>
    </row>
    <row r="222" spans="1:13" s="114" customFormat="1">
      <c r="A222" s="107">
        <v>2200</v>
      </c>
      <c r="B222" s="107">
        <v>2210</v>
      </c>
      <c r="C222" s="107">
        <v>25950</v>
      </c>
      <c r="D222" s="107">
        <v>18950</v>
      </c>
      <c r="E222" s="107">
        <v>10570</v>
      </c>
      <c r="F222" s="107">
        <v>7190</v>
      </c>
      <c r="G222" s="107">
        <v>3820</v>
      </c>
      <c r="H222" s="113">
        <v>0</v>
      </c>
      <c r="I222" s="113">
        <v>0</v>
      </c>
      <c r="J222" s="113">
        <v>0</v>
      </c>
      <c r="K222" s="113">
        <v>0</v>
      </c>
      <c r="L222" s="113">
        <v>0</v>
      </c>
      <c r="M222" s="113">
        <v>0</v>
      </c>
    </row>
    <row r="223" spans="1:13" s="114" customFormat="1">
      <c r="A223" s="107">
        <v>2210</v>
      </c>
      <c r="B223" s="107">
        <v>2220</v>
      </c>
      <c r="C223" s="107">
        <v>26270</v>
      </c>
      <c r="D223" s="107">
        <v>19270</v>
      </c>
      <c r="E223" s="107">
        <v>10760</v>
      </c>
      <c r="F223" s="107">
        <v>7390</v>
      </c>
      <c r="G223" s="107">
        <v>4010</v>
      </c>
      <c r="H223" s="113">
        <v>0</v>
      </c>
      <c r="I223" s="113">
        <v>0</v>
      </c>
      <c r="J223" s="113">
        <v>0</v>
      </c>
      <c r="K223" s="113">
        <v>0</v>
      </c>
      <c r="L223" s="113">
        <v>0</v>
      </c>
      <c r="M223" s="113">
        <v>0</v>
      </c>
    </row>
    <row r="224" spans="1:13" s="114" customFormat="1">
      <c r="A224" s="107">
        <v>2220</v>
      </c>
      <c r="B224" s="107">
        <v>2230</v>
      </c>
      <c r="C224" s="107">
        <v>26590</v>
      </c>
      <c r="D224" s="107">
        <v>19590</v>
      </c>
      <c r="E224" s="107">
        <v>10960</v>
      </c>
      <c r="F224" s="107">
        <v>7590</v>
      </c>
      <c r="G224" s="107">
        <v>4210</v>
      </c>
      <c r="H224" s="113">
        <v>0</v>
      </c>
      <c r="I224" s="113">
        <v>0</v>
      </c>
      <c r="J224" s="113">
        <v>0</v>
      </c>
      <c r="K224" s="113">
        <v>0</v>
      </c>
      <c r="L224" s="113">
        <v>0</v>
      </c>
      <c r="M224" s="113">
        <v>0</v>
      </c>
    </row>
    <row r="225" spans="1:13" s="114" customFormat="1">
      <c r="A225" s="107">
        <v>2230</v>
      </c>
      <c r="B225" s="107">
        <v>2240</v>
      </c>
      <c r="C225" s="107">
        <v>26910</v>
      </c>
      <c r="D225" s="107">
        <v>19910</v>
      </c>
      <c r="E225" s="107">
        <v>11160</v>
      </c>
      <c r="F225" s="107">
        <v>7790</v>
      </c>
      <c r="G225" s="107">
        <v>4410</v>
      </c>
      <c r="H225" s="107">
        <v>1040</v>
      </c>
      <c r="I225" s="113">
        <v>0</v>
      </c>
      <c r="J225" s="113">
        <v>0</v>
      </c>
      <c r="K225" s="113">
        <v>0</v>
      </c>
      <c r="L225" s="113">
        <v>0</v>
      </c>
      <c r="M225" s="113">
        <v>0</v>
      </c>
    </row>
    <row r="226" spans="1:13" s="114" customFormat="1">
      <c r="A226" s="107">
        <v>2240</v>
      </c>
      <c r="B226" s="107">
        <v>2250</v>
      </c>
      <c r="C226" s="107">
        <v>27240</v>
      </c>
      <c r="D226" s="107">
        <v>20240</v>
      </c>
      <c r="E226" s="107">
        <v>11360</v>
      </c>
      <c r="F226" s="107">
        <v>7980</v>
      </c>
      <c r="G226" s="107">
        <v>4610</v>
      </c>
      <c r="H226" s="107">
        <v>1230</v>
      </c>
      <c r="I226" s="113">
        <v>0</v>
      </c>
      <c r="J226" s="113">
        <v>0</v>
      </c>
      <c r="K226" s="113">
        <v>0</v>
      </c>
      <c r="L226" s="113">
        <v>0</v>
      </c>
      <c r="M226" s="113">
        <v>0</v>
      </c>
    </row>
    <row r="227" spans="1:13" s="114" customFormat="1">
      <c r="A227" s="107">
        <v>2250</v>
      </c>
      <c r="B227" s="107">
        <v>2260</v>
      </c>
      <c r="C227" s="107">
        <v>27560</v>
      </c>
      <c r="D227" s="107">
        <v>20560</v>
      </c>
      <c r="E227" s="107">
        <v>11560</v>
      </c>
      <c r="F227" s="107">
        <v>8180</v>
      </c>
      <c r="G227" s="107">
        <v>4810</v>
      </c>
      <c r="H227" s="107">
        <v>1430</v>
      </c>
      <c r="I227" s="113">
        <v>0</v>
      </c>
      <c r="J227" s="113">
        <v>0</v>
      </c>
      <c r="K227" s="113">
        <v>0</v>
      </c>
      <c r="L227" s="113">
        <v>0</v>
      </c>
      <c r="M227" s="113">
        <v>0</v>
      </c>
    </row>
    <row r="228" spans="1:13" s="114" customFormat="1">
      <c r="A228" s="107">
        <v>2260</v>
      </c>
      <c r="B228" s="107">
        <v>2270</v>
      </c>
      <c r="C228" s="107">
        <v>27880</v>
      </c>
      <c r="D228" s="107">
        <v>20880</v>
      </c>
      <c r="E228" s="107">
        <v>11760</v>
      </c>
      <c r="F228" s="107">
        <v>8380</v>
      </c>
      <c r="G228" s="107">
        <v>5010</v>
      </c>
      <c r="H228" s="107">
        <v>1630</v>
      </c>
      <c r="I228" s="113">
        <v>0</v>
      </c>
      <c r="J228" s="113">
        <v>0</v>
      </c>
      <c r="K228" s="113">
        <v>0</v>
      </c>
      <c r="L228" s="113">
        <v>0</v>
      </c>
      <c r="M228" s="113">
        <v>0</v>
      </c>
    </row>
    <row r="229" spans="1:13" s="114" customFormat="1">
      <c r="A229" s="107">
        <v>2270</v>
      </c>
      <c r="B229" s="107">
        <v>2280</v>
      </c>
      <c r="C229" s="107">
        <v>28200</v>
      </c>
      <c r="D229" s="107">
        <v>21200</v>
      </c>
      <c r="E229" s="107">
        <v>11960</v>
      </c>
      <c r="F229" s="107">
        <v>8580</v>
      </c>
      <c r="G229" s="107">
        <v>5210</v>
      </c>
      <c r="H229" s="107">
        <v>1830</v>
      </c>
      <c r="I229" s="113">
        <v>0</v>
      </c>
      <c r="J229" s="113">
        <v>0</v>
      </c>
      <c r="K229" s="113">
        <v>0</v>
      </c>
      <c r="L229" s="113">
        <v>0</v>
      </c>
      <c r="M229" s="113">
        <v>0</v>
      </c>
    </row>
    <row r="230" spans="1:13" s="114" customFormat="1">
      <c r="A230" s="107">
        <v>2280</v>
      </c>
      <c r="B230" s="107">
        <v>2290</v>
      </c>
      <c r="C230" s="107">
        <v>28520</v>
      </c>
      <c r="D230" s="107">
        <v>21520</v>
      </c>
      <c r="E230" s="107">
        <v>12150</v>
      </c>
      <c r="F230" s="107">
        <v>8780</v>
      </c>
      <c r="G230" s="107">
        <v>5400</v>
      </c>
      <c r="H230" s="107">
        <v>2030</v>
      </c>
      <c r="I230" s="113">
        <v>0</v>
      </c>
      <c r="J230" s="113">
        <v>0</v>
      </c>
      <c r="K230" s="113">
        <v>0</v>
      </c>
      <c r="L230" s="113">
        <v>0</v>
      </c>
      <c r="M230" s="113">
        <v>0</v>
      </c>
    </row>
    <row r="231" spans="1:13" s="114" customFormat="1">
      <c r="A231" s="107">
        <v>2290</v>
      </c>
      <c r="B231" s="107">
        <v>2300</v>
      </c>
      <c r="C231" s="107">
        <v>28840</v>
      </c>
      <c r="D231" s="107">
        <v>21840</v>
      </c>
      <c r="E231" s="107">
        <v>12350</v>
      </c>
      <c r="F231" s="107">
        <v>8980</v>
      </c>
      <c r="G231" s="107">
        <v>5600</v>
      </c>
      <c r="H231" s="107">
        <v>2230</v>
      </c>
      <c r="I231" s="113">
        <v>0</v>
      </c>
      <c r="J231" s="113">
        <v>0</v>
      </c>
      <c r="K231" s="113">
        <v>0</v>
      </c>
      <c r="L231" s="113">
        <v>0</v>
      </c>
      <c r="M231" s="113">
        <v>0</v>
      </c>
    </row>
    <row r="232" spans="1:13" s="114" customFormat="1">
      <c r="A232" s="107">
        <v>2300</v>
      </c>
      <c r="B232" s="107">
        <v>2310</v>
      </c>
      <c r="C232" s="107">
        <v>29160</v>
      </c>
      <c r="D232" s="107">
        <v>22160</v>
      </c>
      <c r="E232" s="107">
        <v>12550</v>
      </c>
      <c r="F232" s="107">
        <v>9180</v>
      </c>
      <c r="G232" s="107">
        <v>5800</v>
      </c>
      <c r="H232" s="107">
        <v>2430</v>
      </c>
      <c r="I232" s="113">
        <v>0</v>
      </c>
      <c r="J232" s="113">
        <v>0</v>
      </c>
      <c r="K232" s="113">
        <v>0</v>
      </c>
      <c r="L232" s="113">
        <v>0</v>
      </c>
      <c r="M232" s="113">
        <v>0</v>
      </c>
    </row>
    <row r="233" spans="1:13" s="114" customFormat="1">
      <c r="A233" s="107">
        <v>2310</v>
      </c>
      <c r="B233" s="107">
        <v>2320</v>
      </c>
      <c r="C233" s="107">
        <v>29480</v>
      </c>
      <c r="D233" s="107">
        <v>22480</v>
      </c>
      <c r="E233" s="107">
        <v>12750</v>
      </c>
      <c r="F233" s="107">
        <v>9370</v>
      </c>
      <c r="G233" s="107">
        <v>6000</v>
      </c>
      <c r="H233" s="107">
        <v>2620</v>
      </c>
      <c r="I233" s="113">
        <v>0</v>
      </c>
      <c r="J233" s="113">
        <v>0</v>
      </c>
      <c r="K233" s="113">
        <v>0</v>
      </c>
      <c r="L233" s="113">
        <v>0</v>
      </c>
      <c r="M233" s="113">
        <v>0</v>
      </c>
    </row>
    <row r="234" spans="1:13" s="114" customFormat="1">
      <c r="A234" s="107">
        <v>2320</v>
      </c>
      <c r="B234" s="107">
        <v>2330</v>
      </c>
      <c r="C234" s="107">
        <v>29810</v>
      </c>
      <c r="D234" s="107">
        <v>22810</v>
      </c>
      <c r="E234" s="107">
        <v>12950</v>
      </c>
      <c r="F234" s="107">
        <v>9570</v>
      </c>
      <c r="G234" s="107">
        <v>6200</v>
      </c>
      <c r="H234" s="107">
        <v>2820</v>
      </c>
      <c r="I234" s="113">
        <v>0</v>
      </c>
      <c r="J234" s="113">
        <v>0</v>
      </c>
      <c r="K234" s="113">
        <v>0</v>
      </c>
      <c r="L234" s="113">
        <v>0</v>
      </c>
      <c r="M234" s="113">
        <v>0</v>
      </c>
    </row>
    <row r="235" spans="1:13" s="114" customFormat="1">
      <c r="A235" s="107">
        <v>2330</v>
      </c>
      <c r="B235" s="107">
        <v>2340</v>
      </c>
      <c r="C235" s="107">
        <v>30130</v>
      </c>
      <c r="D235" s="107">
        <v>23130</v>
      </c>
      <c r="E235" s="107">
        <v>13150</v>
      </c>
      <c r="F235" s="107">
        <v>9770</v>
      </c>
      <c r="G235" s="107">
        <v>6400</v>
      </c>
      <c r="H235" s="107">
        <v>3020</v>
      </c>
      <c r="I235" s="113">
        <v>0</v>
      </c>
      <c r="J235" s="113">
        <v>0</v>
      </c>
      <c r="K235" s="113">
        <v>0</v>
      </c>
      <c r="L235" s="113">
        <v>0</v>
      </c>
      <c r="M235" s="113">
        <v>0</v>
      </c>
    </row>
    <row r="236" spans="1:13" s="114" customFormat="1">
      <c r="A236" s="107">
        <v>2340</v>
      </c>
      <c r="B236" s="107">
        <v>2350</v>
      </c>
      <c r="C236" s="107">
        <v>30450</v>
      </c>
      <c r="D236" s="107">
        <v>23450</v>
      </c>
      <c r="E236" s="107">
        <v>13340</v>
      </c>
      <c r="F236" s="107">
        <v>9970</v>
      </c>
      <c r="G236" s="107">
        <v>6590</v>
      </c>
      <c r="H236" s="107">
        <v>3220</v>
      </c>
      <c r="I236" s="113">
        <v>0</v>
      </c>
      <c r="J236" s="113">
        <v>0</v>
      </c>
      <c r="K236" s="113">
        <v>0</v>
      </c>
      <c r="L236" s="113">
        <v>0</v>
      </c>
      <c r="M236" s="113">
        <v>0</v>
      </c>
    </row>
    <row r="237" spans="1:13" s="114" customFormat="1">
      <c r="A237" s="107">
        <v>2350</v>
      </c>
      <c r="B237" s="107">
        <v>2360</v>
      </c>
      <c r="C237" s="107">
        <v>30770</v>
      </c>
      <c r="D237" s="107">
        <v>23770</v>
      </c>
      <c r="E237" s="107">
        <v>13540</v>
      </c>
      <c r="F237" s="107">
        <v>10170</v>
      </c>
      <c r="G237" s="107">
        <v>6790</v>
      </c>
      <c r="H237" s="107">
        <v>3420</v>
      </c>
      <c r="I237" s="113">
        <v>0</v>
      </c>
      <c r="J237" s="113">
        <v>0</v>
      </c>
      <c r="K237" s="113">
        <v>0</v>
      </c>
      <c r="L237" s="113">
        <v>0</v>
      </c>
      <c r="M237" s="113">
        <v>0</v>
      </c>
    </row>
    <row r="238" spans="1:13" s="114" customFormat="1">
      <c r="A238" s="107">
        <v>2360</v>
      </c>
      <c r="B238" s="107">
        <v>2370</v>
      </c>
      <c r="C238" s="107">
        <v>31090</v>
      </c>
      <c r="D238" s="107">
        <v>24090</v>
      </c>
      <c r="E238" s="107">
        <v>13740</v>
      </c>
      <c r="F238" s="107">
        <v>10370</v>
      </c>
      <c r="G238" s="107">
        <v>6990</v>
      </c>
      <c r="H238" s="107">
        <v>3620</v>
      </c>
      <c r="I238" s="113">
        <v>0</v>
      </c>
      <c r="J238" s="113">
        <v>0</v>
      </c>
      <c r="K238" s="113">
        <v>0</v>
      </c>
      <c r="L238" s="113">
        <v>0</v>
      </c>
      <c r="M238" s="113">
        <v>0</v>
      </c>
    </row>
    <row r="239" spans="1:13" s="114" customFormat="1">
      <c r="A239" s="107">
        <v>2370</v>
      </c>
      <c r="B239" s="107">
        <v>2380</v>
      </c>
      <c r="C239" s="107">
        <v>31410</v>
      </c>
      <c r="D239" s="107">
        <v>24410</v>
      </c>
      <c r="E239" s="107">
        <v>13940</v>
      </c>
      <c r="F239" s="107">
        <v>10560</v>
      </c>
      <c r="G239" s="107">
        <v>7190</v>
      </c>
      <c r="H239" s="107">
        <v>3810</v>
      </c>
      <c r="I239" s="113">
        <v>0</v>
      </c>
      <c r="J239" s="113">
        <v>0</v>
      </c>
      <c r="K239" s="113">
        <v>0</v>
      </c>
      <c r="L239" s="113">
        <v>0</v>
      </c>
      <c r="M239" s="113">
        <v>0</v>
      </c>
    </row>
    <row r="240" spans="1:13" s="114" customFormat="1">
      <c r="A240" s="107">
        <v>2380</v>
      </c>
      <c r="B240" s="107">
        <v>2390</v>
      </c>
      <c r="C240" s="107">
        <v>31970</v>
      </c>
      <c r="D240" s="107">
        <v>24730</v>
      </c>
      <c r="E240" s="107">
        <v>14140</v>
      </c>
      <c r="F240" s="107">
        <v>10760</v>
      </c>
      <c r="G240" s="107">
        <v>7390</v>
      </c>
      <c r="H240" s="107">
        <v>4010</v>
      </c>
      <c r="I240" s="113">
        <v>0</v>
      </c>
      <c r="J240" s="113">
        <v>0</v>
      </c>
      <c r="K240" s="113">
        <v>0</v>
      </c>
      <c r="L240" s="113">
        <v>0</v>
      </c>
      <c r="M240" s="113">
        <v>0</v>
      </c>
    </row>
    <row r="241" spans="1:13" s="114" customFormat="1">
      <c r="A241" s="107">
        <v>2390</v>
      </c>
      <c r="B241" s="107">
        <v>2400</v>
      </c>
      <c r="C241" s="107">
        <v>32770</v>
      </c>
      <c r="D241" s="107">
        <v>25050</v>
      </c>
      <c r="E241" s="107">
        <v>14340</v>
      </c>
      <c r="F241" s="107">
        <v>10960</v>
      </c>
      <c r="G241" s="107">
        <v>7590</v>
      </c>
      <c r="H241" s="107">
        <v>4210</v>
      </c>
      <c r="I241" s="113">
        <v>0</v>
      </c>
      <c r="J241" s="113">
        <v>0</v>
      </c>
      <c r="K241" s="113">
        <v>0</v>
      </c>
      <c r="L241" s="113">
        <v>0</v>
      </c>
      <c r="M241" s="113">
        <v>0</v>
      </c>
    </row>
    <row r="242" spans="1:13" s="114" customFormat="1">
      <c r="A242" s="107">
        <v>2400</v>
      </c>
      <c r="B242" s="107">
        <v>2410</v>
      </c>
      <c r="C242" s="107">
        <v>33570</v>
      </c>
      <c r="D242" s="107">
        <v>25380</v>
      </c>
      <c r="E242" s="107">
        <v>14530</v>
      </c>
      <c r="F242" s="107">
        <v>11160</v>
      </c>
      <c r="G242" s="107">
        <v>7780</v>
      </c>
      <c r="H242" s="107">
        <v>4410</v>
      </c>
      <c r="I242" s="107">
        <v>1030</v>
      </c>
      <c r="J242" s="113">
        <v>0</v>
      </c>
      <c r="K242" s="113">
        <v>0</v>
      </c>
      <c r="L242" s="113">
        <v>0</v>
      </c>
      <c r="M242" s="113">
        <v>0</v>
      </c>
    </row>
    <row r="243" spans="1:13" s="114" customFormat="1">
      <c r="A243" s="107">
        <v>2410</v>
      </c>
      <c r="B243" s="107">
        <v>2420</v>
      </c>
      <c r="C243" s="107">
        <v>34380</v>
      </c>
      <c r="D243" s="107">
        <v>25700</v>
      </c>
      <c r="E243" s="107">
        <v>14730</v>
      </c>
      <c r="F243" s="107">
        <v>11360</v>
      </c>
      <c r="G243" s="107">
        <v>7980</v>
      </c>
      <c r="H243" s="107">
        <v>4610</v>
      </c>
      <c r="I243" s="107">
        <v>1230</v>
      </c>
      <c r="J243" s="113">
        <v>0</v>
      </c>
      <c r="K243" s="113">
        <v>0</v>
      </c>
      <c r="L243" s="113">
        <v>0</v>
      </c>
      <c r="M243" s="113">
        <v>0</v>
      </c>
    </row>
    <row r="244" spans="1:13" s="114" customFormat="1">
      <c r="A244" s="107">
        <v>2420</v>
      </c>
      <c r="B244" s="107">
        <v>2430</v>
      </c>
      <c r="C244" s="107">
        <v>35180</v>
      </c>
      <c r="D244" s="107">
        <v>26020</v>
      </c>
      <c r="E244" s="107">
        <v>14930</v>
      </c>
      <c r="F244" s="107">
        <v>11560</v>
      </c>
      <c r="G244" s="107">
        <v>8180</v>
      </c>
      <c r="H244" s="107">
        <v>4810</v>
      </c>
      <c r="I244" s="107">
        <v>1430</v>
      </c>
      <c r="J244" s="113">
        <v>0</v>
      </c>
      <c r="K244" s="113">
        <v>0</v>
      </c>
      <c r="L244" s="113">
        <v>0</v>
      </c>
      <c r="M244" s="113">
        <v>0</v>
      </c>
    </row>
    <row r="245" spans="1:13" s="114" customFormat="1">
      <c r="A245" s="107">
        <v>2430</v>
      </c>
      <c r="B245" s="107">
        <v>2440</v>
      </c>
      <c r="C245" s="107">
        <v>35980</v>
      </c>
      <c r="D245" s="107">
        <v>26340</v>
      </c>
      <c r="E245" s="107">
        <v>15130</v>
      </c>
      <c r="F245" s="107">
        <v>11760</v>
      </c>
      <c r="G245" s="107">
        <v>8380</v>
      </c>
      <c r="H245" s="107">
        <v>5010</v>
      </c>
      <c r="I245" s="107">
        <v>1630</v>
      </c>
      <c r="J245" s="113">
        <v>0</v>
      </c>
      <c r="K245" s="113">
        <v>0</v>
      </c>
      <c r="L245" s="113">
        <v>0</v>
      </c>
      <c r="M245" s="113">
        <v>0</v>
      </c>
    </row>
    <row r="246" spans="1:13" s="114" customFormat="1">
      <c r="A246" s="107">
        <v>2440</v>
      </c>
      <c r="B246" s="107">
        <v>2450</v>
      </c>
      <c r="C246" s="107">
        <v>36790</v>
      </c>
      <c r="D246" s="107">
        <v>26660</v>
      </c>
      <c r="E246" s="107">
        <v>15330</v>
      </c>
      <c r="F246" s="107">
        <v>11950</v>
      </c>
      <c r="G246" s="107">
        <v>8580</v>
      </c>
      <c r="H246" s="107">
        <v>5200</v>
      </c>
      <c r="I246" s="107">
        <v>1830</v>
      </c>
      <c r="J246" s="113">
        <v>0</v>
      </c>
      <c r="K246" s="113">
        <v>0</v>
      </c>
      <c r="L246" s="113">
        <v>0</v>
      </c>
      <c r="M246" s="113">
        <v>0</v>
      </c>
    </row>
    <row r="247" spans="1:13" s="114" customFormat="1">
      <c r="A247" s="107">
        <v>2450</v>
      </c>
      <c r="B247" s="107">
        <v>2460</v>
      </c>
      <c r="C247" s="107">
        <v>37590</v>
      </c>
      <c r="D247" s="107">
        <v>26980</v>
      </c>
      <c r="E247" s="107">
        <v>15530</v>
      </c>
      <c r="F247" s="107">
        <v>12150</v>
      </c>
      <c r="G247" s="107">
        <v>8780</v>
      </c>
      <c r="H247" s="107">
        <v>5400</v>
      </c>
      <c r="I247" s="107">
        <v>2030</v>
      </c>
      <c r="J247" s="113">
        <v>0</v>
      </c>
      <c r="K247" s="113">
        <v>0</v>
      </c>
      <c r="L247" s="113">
        <v>0</v>
      </c>
      <c r="M247" s="113">
        <v>0</v>
      </c>
    </row>
    <row r="248" spans="1:13" s="114" customFormat="1">
      <c r="A248" s="107">
        <v>2460</v>
      </c>
      <c r="B248" s="107">
        <v>2470</v>
      </c>
      <c r="C248" s="107">
        <v>38390</v>
      </c>
      <c r="D248" s="107">
        <v>27300</v>
      </c>
      <c r="E248" s="107">
        <v>15730</v>
      </c>
      <c r="F248" s="107">
        <v>12350</v>
      </c>
      <c r="G248" s="107">
        <v>8980</v>
      </c>
      <c r="H248" s="107">
        <v>5600</v>
      </c>
      <c r="I248" s="107">
        <v>2230</v>
      </c>
      <c r="J248" s="113">
        <v>0</v>
      </c>
      <c r="K248" s="113">
        <v>0</v>
      </c>
      <c r="L248" s="113">
        <v>0</v>
      </c>
      <c r="M248" s="113">
        <v>0</v>
      </c>
    </row>
    <row r="249" spans="1:13" s="114" customFormat="1">
      <c r="A249" s="107">
        <v>2470</v>
      </c>
      <c r="B249" s="107">
        <v>2480</v>
      </c>
      <c r="C249" s="107">
        <v>39200</v>
      </c>
      <c r="D249" s="107">
        <v>27630</v>
      </c>
      <c r="E249" s="107">
        <v>15920</v>
      </c>
      <c r="F249" s="107">
        <v>12550</v>
      </c>
      <c r="G249" s="107">
        <v>9170</v>
      </c>
      <c r="H249" s="107">
        <v>5800</v>
      </c>
      <c r="I249" s="107">
        <v>2420</v>
      </c>
      <c r="J249" s="113">
        <v>0</v>
      </c>
      <c r="K249" s="113">
        <v>0</v>
      </c>
      <c r="L249" s="113">
        <v>0</v>
      </c>
      <c r="M249" s="113">
        <v>0</v>
      </c>
    </row>
    <row r="250" spans="1:13" s="114" customFormat="1">
      <c r="A250" s="107">
        <v>2480</v>
      </c>
      <c r="B250" s="107">
        <v>2490</v>
      </c>
      <c r="C250" s="107">
        <v>40000</v>
      </c>
      <c r="D250" s="107">
        <v>27950</v>
      </c>
      <c r="E250" s="107">
        <v>16120</v>
      </c>
      <c r="F250" s="107">
        <v>12750</v>
      </c>
      <c r="G250" s="107">
        <v>9370</v>
      </c>
      <c r="H250" s="107">
        <v>6000</v>
      </c>
      <c r="I250" s="107">
        <v>2620</v>
      </c>
      <c r="J250" s="113">
        <v>0</v>
      </c>
      <c r="K250" s="113">
        <v>0</v>
      </c>
      <c r="L250" s="113">
        <v>0</v>
      </c>
      <c r="M250" s="113">
        <v>0</v>
      </c>
    </row>
    <row r="251" spans="1:13" s="114" customFormat="1">
      <c r="A251" s="107">
        <v>2490</v>
      </c>
      <c r="B251" s="107">
        <v>2500</v>
      </c>
      <c r="C251" s="107">
        <v>40800</v>
      </c>
      <c r="D251" s="107">
        <v>28270</v>
      </c>
      <c r="E251" s="107">
        <v>16320</v>
      </c>
      <c r="F251" s="107">
        <v>12950</v>
      </c>
      <c r="G251" s="107">
        <v>9570</v>
      </c>
      <c r="H251" s="107">
        <v>6200</v>
      </c>
      <c r="I251" s="107">
        <v>2820</v>
      </c>
      <c r="J251" s="113">
        <v>0</v>
      </c>
      <c r="K251" s="113">
        <v>0</v>
      </c>
      <c r="L251" s="113">
        <v>0</v>
      </c>
      <c r="M251" s="113">
        <v>0</v>
      </c>
    </row>
    <row r="252" spans="1:13" s="114" customFormat="1">
      <c r="A252" s="107">
        <v>2500</v>
      </c>
      <c r="B252" s="107">
        <v>2510</v>
      </c>
      <c r="C252" s="107">
        <v>41630</v>
      </c>
      <c r="D252" s="107">
        <v>28600</v>
      </c>
      <c r="E252" s="107">
        <v>16530</v>
      </c>
      <c r="F252" s="107">
        <v>13150</v>
      </c>
      <c r="G252" s="107">
        <v>9780</v>
      </c>
      <c r="H252" s="107">
        <v>6400</v>
      </c>
      <c r="I252" s="107">
        <v>3030</v>
      </c>
      <c r="J252" s="113">
        <v>0</v>
      </c>
      <c r="K252" s="113">
        <v>0</v>
      </c>
      <c r="L252" s="113">
        <v>0</v>
      </c>
      <c r="M252" s="113">
        <v>0</v>
      </c>
    </row>
    <row r="253" spans="1:13" s="114" customFormat="1">
      <c r="A253" s="107">
        <v>2510</v>
      </c>
      <c r="B253" s="107">
        <v>2520</v>
      </c>
      <c r="C253" s="107">
        <v>42490</v>
      </c>
      <c r="D253" s="107">
        <v>28940</v>
      </c>
      <c r="E253" s="107">
        <v>16740</v>
      </c>
      <c r="F253" s="107">
        <v>13360</v>
      </c>
      <c r="G253" s="107">
        <v>9990</v>
      </c>
      <c r="H253" s="107">
        <v>6610</v>
      </c>
      <c r="I253" s="107">
        <v>3240</v>
      </c>
      <c r="J253" s="113">
        <v>0</v>
      </c>
      <c r="K253" s="113">
        <v>0</v>
      </c>
      <c r="L253" s="113">
        <v>0</v>
      </c>
      <c r="M253" s="113">
        <v>0</v>
      </c>
    </row>
    <row r="254" spans="1:13" s="114" customFormat="1">
      <c r="A254" s="107">
        <v>2520</v>
      </c>
      <c r="B254" s="107">
        <v>2530</v>
      </c>
      <c r="C254" s="107">
        <v>43340</v>
      </c>
      <c r="D254" s="107">
        <v>29280</v>
      </c>
      <c r="E254" s="107">
        <v>16950</v>
      </c>
      <c r="F254" s="107">
        <v>13580</v>
      </c>
      <c r="G254" s="107">
        <v>10200</v>
      </c>
      <c r="H254" s="107">
        <v>6830</v>
      </c>
      <c r="I254" s="107">
        <v>3450</v>
      </c>
      <c r="J254" s="113">
        <v>0</v>
      </c>
      <c r="K254" s="113">
        <v>0</v>
      </c>
      <c r="L254" s="113">
        <v>0</v>
      </c>
      <c r="M254" s="113">
        <v>0</v>
      </c>
    </row>
    <row r="255" spans="1:13" s="114" customFormat="1">
      <c r="A255" s="107">
        <v>2530</v>
      </c>
      <c r="B255" s="107">
        <v>2540</v>
      </c>
      <c r="C255" s="107">
        <v>44200</v>
      </c>
      <c r="D255" s="107">
        <v>29630</v>
      </c>
      <c r="E255" s="107">
        <v>17160</v>
      </c>
      <c r="F255" s="107">
        <v>13790</v>
      </c>
      <c r="G255" s="107">
        <v>10410</v>
      </c>
      <c r="H255" s="107">
        <v>7040</v>
      </c>
      <c r="I255" s="107">
        <v>3660</v>
      </c>
      <c r="J255" s="113">
        <v>0</v>
      </c>
      <c r="K255" s="113">
        <v>0</v>
      </c>
      <c r="L255" s="113">
        <v>0</v>
      </c>
      <c r="M255" s="113">
        <v>0</v>
      </c>
    </row>
    <row r="256" spans="1:13" s="114" customFormat="1">
      <c r="A256" s="107">
        <v>2540</v>
      </c>
      <c r="B256" s="107">
        <v>2550</v>
      </c>
      <c r="C256" s="107">
        <v>45050</v>
      </c>
      <c r="D256" s="107">
        <v>29970</v>
      </c>
      <c r="E256" s="107">
        <v>17370</v>
      </c>
      <c r="F256" s="107">
        <v>14000</v>
      </c>
      <c r="G256" s="107">
        <v>10620</v>
      </c>
      <c r="H256" s="107">
        <v>7250</v>
      </c>
      <c r="I256" s="107">
        <v>3870</v>
      </c>
      <c r="J256" s="113">
        <v>0</v>
      </c>
      <c r="K256" s="113">
        <v>0</v>
      </c>
      <c r="L256" s="113">
        <v>0</v>
      </c>
      <c r="M256" s="113">
        <v>0</v>
      </c>
    </row>
    <row r="257" spans="1:13" s="114" customFormat="1">
      <c r="A257" s="107">
        <v>2550</v>
      </c>
      <c r="B257" s="107">
        <v>2560</v>
      </c>
      <c r="C257" s="107">
        <v>45910</v>
      </c>
      <c r="D257" s="107">
        <v>30310</v>
      </c>
      <c r="E257" s="107">
        <v>17590</v>
      </c>
      <c r="F257" s="107">
        <v>14210</v>
      </c>
      <c r="G257" s="107">
        <v>10840</v>
      </c>
      <c r="H257" s="107">
        <v>7460</v>
      </c>
      <c r="I257" s="107">
        <v>4090</v>
      </c>
      <c r="J257" s="113">
        <v>0</v>
      </c>
      <c r="K257" s="113">
        <v>0</v>
      </c>
      <c r="L257" s="113">
        <v>0</v>
      </c>
      <c r="M257" s="113">
        <v>0</v>
      </c>
    </row>
    <row r="258" spans="1:13" s="114" customFormat="1">
      <c r="A258" s="107">
        <v>2560</v>
      </c>
      <c r="B258" s="107">
        <v>2570</v>
      </c>
      <c r="C258" s="107">
        <v>46770</v>
      </c>
      <c r="D258" s="107">
        <v>30650</v>
      </c>
      <c r="E258" s="107">
        <v>17800</v>
      </c>
      <c r="F258" s="107">
        <v>14420</v>
      </c>
      <c r="G258" s="107">
        <v>11050</v>
      </c>
      <c r="H258" s="107">
        <v>7670</v>
      </c>
      <c r="I258" s="107">
        <v>4300</v>
      </c>
      <c r="J258" s="113">
        <v>0</v>
      </c>
      <c r="K258" s="113">
        <v>0</v>
      </c>
      <c r="L258" s="113">
        <v>0</v>
      </c>
      <c r="M258" s="113">
        <v>0</v>
      </c>
    </row>
    <row r="259" spans="1:13" s="114" customFormat="1">
      <c r="A259" s="107">
        <v>2570</v>
      </c>
      <c r="B259" s="107">
        <v>2580</v>
      </c>
      <c r="C259" s="107">
        <v>47620</v>
      </c>
      <c r="D259" s="107">
        <v>31000</v>
      </c>
      <c r="E259" s="107">
        <v>18010</v>
      </c>
      <c r="F259" s="107">
        <v>14630</v>
      </c>
      <c r="G259" s="107">
        <v>11260</v>
      </c>
      <c r="H259" s="107">
        <v>7880</v>
      </c>
      <c r="I259" s="107">
        <v>4510</v>
      </c>
      <c r="J259" s="107">
        <v>1130</v>
      </c>
      <c r="K259" s="113">
        <v>0</v>
      </c>
      <c r="L259" s="113">
        <v>0</v>
      </c>
      <c r="M259" s="113">
        <v>0</v>
      </c>
    </row>
    <row r="260" spans="1:13" s="114" customFormat="1">
      <c r="A260" s="107">
        <v>2580</v>
      </c>
      <c r="B260" s="107">
        <v>2590</v>
      </c>
      <c r="C260" s="107">
        <v>48480</v>
      </c>
      <c r="D260" s="107">
        <v>31340</v>
      </c>
      <c r="E260" s="107">
        <v>18220</v>
      </c>
      <c r="F260" s="107">
        <v>14850</v>
      </c>
      <c r="G260" s="107">
        <v>11470</v>
      </c>
      <c r="H260" s="107">
        <v>8100</v>
      </c>
      <c r="I260" s="107">
        <v>4720</v>
      </c>
      <c r="J260" s="107">
        <v>1350</v>
      </c>
      <c r="K260" s="113">
        <v>0</v>
      </c>
      <c r="L260" s="113">
        <v>0</v>
      </c>
      <c r="M260" s="113">
        <v>0</v>
      </c>
    </row>
    <row r="261" spans="1:13" s="114" customFormat="1">
      <c r="A261" s="107">
        <v>2590</v>
      </c>
      <c r="B261" s="107">
        <v>2600</v>
      </c>
      <c r="C261" s="107">
        <v>49330</v>
      </c>
      <c r="D261" s="107">
        <v>31830</v>
      </c>
      <c r="E261" s="107">
        <v>18430</v>
      </c>
      <c r="F261" s="107">
        <v>15060</v>
      </c>
      <c r="G261" s="107">
        <v>11680</v>
      </c>
      <c r="H261" s="107">
        <v>8310</v>
      </c>
      <c r="I261" s="107">
        <v>4930</v>
      </c>
      <c r="J261" s="107">
        <v>1560</v>
      </c>
      <c r="K261" s="113">
        <v>0</v>
      </c>
      <c r="L261" s="113">
        <v>0</v>
      </c>
      <c r="M261" s="113">
        <v>0</v>
      </c>
    </row>
    <row r="262" spans="1:13" s="114" customFormat="1">
      <c r="A262" s="107">
        <v>2600</v>
      </c>
      <c r="B262" s="107">
        <v>2610</v>
      </c>
      <c r="C262" s="107">
        <v>50190</v>
      </c>
      <c r="D262" s="107">
        <v>32690</v>
      </c>
      <c r="E262" s="107">
        <v>18650</v>
      </c>
      <c r="F262" s="107">
        <v>15270</v>
      </c>
      <c r="G262" s="107">
        <v>11900</v>
      </c>
      <c r="H262" s="107">
        <v>8520</v>
      </c>
      <c r="I262" s="107">
        <v>5150</v>
      </c>
      <c r="J262" s="107">
        <v>1770</v>
      </c>
      <c r="K262" s="113">
        <v>0</v>
      </c>
      <c r="L262" s="113">
        <v>0</v>
      </c>
      <c r="M262" s="113">
        <v>0</v>
      </c>
    </row>
    <row r="263" spans="1:13" s="114" customFormat="1">
      <c r="A263" s="107">
        <v>2610</v>
      </c>
      <c r="B263" s="107">
        <v>2620</v>
      </c>
      <c r="C263" s="107">
        <v>51040</v>
      </c>
      <c r="D263" s="107">
        <v>33540</v>
      </c>
      <c r="E263" s="107">
        <v>18920</v>
      </c>
      <c r="F263" s="107">
        <v>15480</v>
      </c>
      <c r="G263" s="107">
        <v>12110</v>
      </c>
      <c r="H263" s="107">
        <v>8730</v>
      </c>
      <c r="I263" s="107">
        <v>5360</v>
      </c>
      <c r="J263" s="107">
        <v>1980</v>
      </c>
      <c r="K263" s="113">
        <v>0</v>
      </c>
      <c r="L263" s="113">
        <v>0</v>
      </c>
      <c r="M263" s="113">
        <v>0</v>
      </c>
    </row>
    <row r="264" spans="1:13" s="114" customFormat="1">
      <c r="A264" s="107">
        <v>2620</v>
      </c>
      <c r="B264" s="107">
        <v>2630</v>
      </c>
      <c r="C264" s="107">
        <v>51900</v>
      </c>
      <c r="D264" s="107">
        <v>34400</v>
      </c>
      <c r="E264" s="107">
        <v>19250</v>
      </c>
      <c r="F264" s="107">
        <v>15690</v>
      </c>
      <c r="G264" s="107">
        <v>12320</v>
      </c>
      <c r="H264" s="107">
        <v>8940</v>
      </c>
      <c r="I264" s="107">
        <v>5570</v>
      </c>
      <c r="J264" s="107">
        <v>2190</v>
      </c>
      <c r="K264" s="113">
        <v>0</v>
      </c>
      <c r="L264" s="113">
        <v>0</v>
      </c>
      <c r="M264" s="113">
        <v>0</v>
      </c>
    </row>
    <row r="265" spans="1:13" s="114" customFormat="1">
      <c r="A265" s="107">
        <v>2630</v>
      </c>
      <c r="B265" s="107">
        <v>2640</v>
      </c>
      <c r="C265" s="107">
        <v>52760</v>
      </c>
      <c r="D265" s="107">
        <v>35260</v>
      </c>
      <c r="E265" s="107">
        <v>19580</v>
      </c>
      <c r="F265" s="107">
        <v>15910</v>
      </c>
      <c r="G265" s="107">
        <v>12530</v>
      </c>
      <c r="H265" s="107">
        <v>9160</v>
      </c>
      <c r="I265" s="107">
        <v>5780</v>
      </c>
      <c r="J265" s="107">
        <v>2410</v>
      </c>
      <c r="K265" s="113">
        <v>0</v>
      </c>
      <c r="L265" s="113">
        <v>0</v>
      </c>
      <c r="M265" s="113">
        <v>0</v>
      </c>
    </row>
    <row r="266" spans="1:13" s="114" customFormat="1">
      <c r="A266" s="107">
        <v>2640</v>
      </c>
      <c r="B266" s="107">
        <v>2650</v>
      </c>
      <c r="C266" s="107">
        <v>53610</v>
      </c>
      <c r="D266" s="107">
        <v>36110</v>
      </c>
      <c r="E266" s="107">
        <v>19910</v>
      </c>
      <c r="F266" s="107">
        <v>16120</v>
      </c>
      <c r="G266" s="107">
        <v>12740</v>
      </c>
      <c r="H266" s="107">
        <v>9370</v>
      </c>
      <c r="I266" s="107">
        <v>5990</v>
      </c>
      <c r="J266" s="107">
        <v>2620</v>
      </c>
      <c r="K266" s="113">
        <v>0</v>
      </c>
      <c r="L266" s="113">
        <v>0</v>
      </c>
      <c r="M266" s="113">
        <v>0</v>
      </c>
    </row>
    <row r="267" spans="1:13" s="114" customFormat="1">
      <c r="A267" s="107">
        <v>2650</v>
      </c>
      <c r="B267" s="107">
        <v>2660</v>
      </c>
      <c r="C267" s="107">
        <v>54470</v>
      </c>
      <c r="D267" s="107">
        <v>36970</v>
      </c>
      <c r="E267" s="107">
        <v>20240</v>
      </c>
      <c r="F267" s="107">
        <v>16330</v>
      </c>
      <c r="G267" s="107">
        <v>12960</v>
      </c>
      <c r="H267" s="107">
        <v>9580</v>
      </c>
      <c r="I267" s="107">
        <v>6210</v>
      </c>
      <c r="J267" s="107">
        <v>2830</v>
      </c>
      <c r="K267" s="113">
        <v>0</v>
      </c>
      <c r="L267" s="113">
        <v>0</v>
      </c>
      <c r="M267" s="113">
        <v>0</v>
      </c>
    </row>
    <row r="268" spans="1:13" s="114" customFormat="1">
      <c r="A268" s="107">
        <v>2660</v>
      </c>
      <c r="B268" s="107">
        <v>2670</v>
      </c>
      <c r="C268" s="107">
        <v>55320</v>
      </c>
      <c r="D268" s="107">
        <v>37820</v>
      </c>
      <c r="E268" s="107">
        <v>20570</v>
      </c>
      <c r="F268" s="107">
        <v>16540</v>
      </c>
      <c r="G268" s="107">
        <v>13170</v>
      </c>
      <c r="H268" s="107">
        <v>9790</v>
      </c>
      <c r="I268" s="107">
        <v>6420</v>
      </c>
      <c r="J268" s="107">
        <v>3040</v>
      </c>
      <c r="K268" s="113">
        <v>0</v>
      </c>
      <c r="L268" s="113">
        <v>0</v>
      </c>
      <c r="M268" s="113">
        <v>0</v>
      </c>
    </row>
    <row r="269" spans="1:13" s="114" customFormat="1">
      <c r="A269" s="107">
        <v>2670</v>
      </c>
      <c r="B269" s="107">
        <v>2680</v>
      </c>
      <c r="C269" s="107">
        <v>56180</v>
      </c>
      <c r="D269" s="107">
        <v>38680</v>
      </c>
      <c r="E269" s="107">
        <v>20900</v>
      </c>
      <c r="F269" s="107">
        <v>16750</v>
      </c>
      <c r="G269" s="107">
        <v>13380</v>
      </c>
      <c r="H269" s="107">
        <v>10000</v>
      </c>
      <c r="I269" s="107">
        <v>6630</v>
      </c>
      <c r="J269" s="107">
        <v>3250</v>
      </c>
      <c r="K269" s="113">
        <v>0</v>
      </c>
      <c r="L269" s="113">
        <v>0</v>
      </c>
      <c r="M269" s="113">
        <v>0</v>
      </c>
    </row>
    <row r="270" spans="1:13" s="114" customFormat="1">
      <c r="A270" s="107">
        <v>2680</v>
      </c>
      <c r="B270" s="107">
        <v>2690</v>
      </c>
      <c r="C270" s="107">
        <v>57040</v>
      </c>
      <c r="D270" s="107">
        <v>39540</v>
      </c>
      <c r="E270" s="107">
        <v>21230</v>
      </c>
      <c r="F270" s="107">
        <v>16970</v>
      </c>
      <c r="G270" s="107">
        <v>13590</v>
      </c>
      <c r="H270" s="107">
        <v>10220</v>
      </c>
      <c r="I270" s="107">
        <v>6840</v>
      </c>
      <c r="J270" s="107">
        <v>3470</v>
      </c>
      <c r="K270" s="113">
        <v>0</v>
      </c>
      <c r="L270" s="113">
        <v>0</v>
      </c>
      <c r="M270" s="113">
        <v>0</v>
      </c>
    </row>
    <row r="271" spans="1:13" s="114" customFormat="1">
      <c r="A271" s="107">
        <v>2690</v>
      </c>
      <c r="B271" s="107">
        <v>2700</v>
      </c>
      <c r="C271" s="107">
        <v>57890</v>
      </c>
      <c r="D271" s="107">
        <v>40390</v>
      </c>
      <c r="E271" s="107">
        <v>21560</v>
      </c>
      <c r="F271" s="107">
        <v>17180</v>
      </c>
      <c r="G271" s="107">
        <v>13800</v>
      </c>
      <c r="H271" s="107">
        <v>10430</v>
      </c>
      <c r="I271" s="107">
        <v>7050</v>
      </c>
      <c r="J271" s="107">
        <v>3680</v>
      </c>
      <c r="K271" s="113">
        <v>0</v>
      </c>
      <c r="L271" s="113">
        <v>0</v>
      </c>
      <c r="M271" s="113">
        <v>0</v>
      </c>
    </row>
    <row r="272" spans="1:13" s="114" customFormat="1">
      <c r="A272" s="107">
        <v>2700</v>
      </c>
      <c r="B272" s="107">
        <v>2710</v>
      </c>
      <c r="C272" s="107">
        <v>58750</v>
      </c>
      <c r="D272" s="107">
        <v>41250</v>
      </c>
      <c r="E272" s="107">
        <v>21890</v>
      </c>
      <c r="F272" s="107">
        <v>17390</v>
      </c>
      <c r="G272" s="107">
        <v>14020</v>
      </c>
      <c r="H272" s="107">
        <v>10640</v>
      </c>
      <c r="I272" s="107">
        <v>7270</v>
      </c>
      <c r="J272" s="107">
        <v>3890</v>
      </c>
      <c r="K272" s="113">
        <v>0</v>
      </c>
      <c r="L272" s="113">
        <v>0</v>
      </c>
      <c r="M272" s="113">
        <v>0</v>
      </c>
    </row>
    <row r="273" spans="1:13" s="114" customFormat="1">
      <c r="A273" s="107">
        <v>2710</v>
      </c>
      <c r="B273" s="107">
        <v>2720</v>
      </c>
      <c r="C273" s="107">
        <v>59600</v>
      </c>
      <c r="D273" s="107">
        <v>42100</v>
      </c>
      <c r="E273" s="107">
        <v>22220</v>
      </c>
      <c r="F273" s="107">
        <v>17600</v>
      </c>
      <c r="G273" s="107">
        <v>14230</v>
      </c>
      <c r="H273" s="107">
        <v>10850</v>
      </c>
      <c r="I273" s="107">
        <v>7480</v>
      </c>
      <c r="J273" s="107">
        <v>4100</v>
      </c>
      <c r="K273" s="113">
        <v>0</v>
      </c>
      <c r="L273" s="113">
        <v>0</v>
      </c>
      <c r="M273" s="113">
        <v>0</v>
      </c>
    </row>
    <row r="274" spans="1:13" s="114" customFormat="1">
      <c r="A274" s="107">
        <v>2720</v>
      </c>
      <c r="B274" s="107">
        <v>2730</v>
      </c>
      <c r="C274" s="107">
        <v>60460</v>
      </c>
      <c r="D274" s="107">
        <v>42960</v>
      </c>
      <c r="E274" s="107">
        <v>22550</v>
      </c>
      <c r="F274" s="107">
        <v>17810</v>
      </c>
      <c r="G274" s="107">
        <v>14440</v>
      </c>
      <c r="H274" s="107">
        <v>11060</v>
      </c>
      <c r="I274" s="107">
        <v>7690</v>
      </c>
      <c r="J274" s="107">
        <v>4310</v>
      </c>
      <c r="K274" s="113">
        <v>0</v>
      </c>
      <c r="L274" s="113">
        <v>0</v>
      </c>
      <c r="M274" s="113">
        <v>0</v>
      </c>
    </row>
    <row r="275" spans="1:13" s="114" customFormat="1">
      <c r="A275" s="107">
        <v>2730</v>
      </c>
      <c r="B275" s="107">
        <v>2740</v>
      </c>
      <c r="C275" s="107">
        <v>61310</v>
      </c>
      <c r="D275" s="107">
        <v>43810</v>
      </c>
      <c r="E275" s="107">
        <v>22880</v>
      </c>
      <c r="F275" s="107">
        <v>18030</v>
      </c>
      <c r="G275" s="107">
        <v>14650</v>
      </c>
      <c r="H275" s="107">
        <v>11280</v>
      </c>
      <c r="I275" s="107">
        <v>7900</v>
      </c>
      <c r="J275" s="107">
        <v>4530</v>
      </c>
      <c r="K275" s="107">
        <v>1150</v>
      </c>
      <c r="L275" s="113">
        <v>0</v>
      </c>
      <c r="M275" s="113">
        <v>0</v>
      </c>
    </row>
    <row r="276" spans="1:13" s="114" customFormat="1">
      <c r="A276" s="107">
        <v>2740</v>
      </c>
      <c r="B276" s="107">
        <v>2750</v>
      </c>
      <c r="C276" s="107">
        <v>62170</v>
      </c>
      <c r="D276" s="107">
        <v>44670</v>
      </c>
      <c r="E276" s="107">
        <v>23210</v>
      </c>
      <c r="F276" s="107">
        <v>18240</v>
      </c>
      <c r="G276" s="107">
        <v>14860</v>
      </c>
      <c r="H276" s="107">
        <v>11490</v>
      </c>
      <c r="I276" s="107">
        <v>8110</v>
      </c>
      <c r="J276" s="107">
        <v>4740</v>
      </c>
      <c r="K276" s="107">
        <v>1360</v>
      </c>
      <c r="L276" s="113">
        <v>0</v>
      </c>
      <c r="M276" s="113">
        <v>0</v>
      </c>
    </row>
    <row r="277" spans="1:13" s="114" customFormat="1">
      <c r="A277" s="107">
        <v>2750</v>
      </c>
      <c r="B277" s="107">
        <v>2760</v>
      </c>
      <c r="C277" s="107">
        <v>63030</v>
      </c>
      <c r="D277" s="107">
        <v>45530</v>
      </c>
      <c r="E277" s="107">
        <v>23540</v>
      </c>
      <c r="F277" s="107">
        <v>18450</v>
      </c>
      <c r="G277" s="107">
        <v>15070</v>
      </c>
      <c r="H277" s="107">
        <v>11700</v>
      </c>
      <c r="I277" s="107">
        <v>8320</v>
      </c>
      <c r="J277" s="107">
        <v>4950</v>
      </c>
      <c r="K277" s="107">
        <v>1570</v>
      </c>
      <c r="L277" s="113">
        <v>0</v>
      </c>
      <c r="M277" s="113">
        <v>0</v>
      </c>
    </row>
    <row r="278" spans="1:13" s="114" customFormat="1">
      <c r="A278" s="107">
        <v>2760</v>
      </c>
      <c r="B278" s="107">
        <v>2770</v>
      </c>
      <c r="C278" s="107">
        <v>63880</v>
      </c>
      <c r="D278" s="107">
        <v>46380</v>
      </c>
      <c r="E278" s="107">
        <v>23870</v>
      </c>
      <c r="F278" s="107">
        <v>18660</v>
      </c>
      <c r="G278" s="107">
        <v>15290</v>
      </c>
      <c r="H278" s="107">
        <v>11910</v>
      </c>
      <c r="I278" s="107">
        <v>8540</v>
      </c>
      <c r="J278" s="107">
        <v>5160</v>
      </c>
      <c r="K278" s="107">
        <v>1790</v>
      </c>
      <c r="L278" s="113">
        <v>0</v>
      </c>
      <c r="M278" s="113">
        <v>0</v>
      </c>
    </row>
    <row r="279" spans="1:13" s="114" customFormat="1">
      <c r="A279" s="107">
        <v>2770</v>
      </c>
      <c r="B279" s="107">
        <v>2780</v>
      </c>
      <c r="C279" s="107">
        <v>64740</v>
      </c>
      <c r="D279" s="107">
        <v>47240</v>
      </c>
      <c r="E279" s="107">
        <v>24200</v>
      </c>
      <c r="F279" s="107">
        <v>18950</v>
      </c>
      <c r="G279" s="107">
        <v>15500</v>
      </c>
      <c r="H279" s="107">
        <v>12120</v>
      </c>
      <c r="I279" s="107">
        <v>8750</v>
      </c>
      <c r="J279" s="107">
        <v>5370</v>
      </c>
      <c r="K279" s="107">
        <v>2000</v>
      </c>
      <c r="L279" s="113">
        <v>0</v>
      </c>
      <c r="M279" s="113">
        <v>0</v>
      </c>
    </row>
    <row r="280" spans="1:13" s="114" customFormat="1">
      <c r="A280" s="107">
        <v>2780</v>
      </c>
      <c r="B280" s="107">
        <v>2790</v>
      </c>
      <c r="C280" s="107">
        <v>65590</v>
      </c>
      <c r="D280" s="107">
        <v>48090</v>
      </c>
      <c r="E280" s="107">
        <v>24520</v>
      </c>
      <c r="F280" s="107">
        <v>19270</v>
      </c>
      <c r="G280" s="107">
        <v>15710</v>
      </c>
      <c r="H280" s="107">
        <v>12340</v>
      </c>
      <c r="I280" s="107">
        <v>8960</v>
      </c>
      <c r="J280" s="107">
        <v>5590</v>
      </c>
      <c r="K280" s="107">
        <v>2210</v>
      </c>
      <c r="L280" s="113">
        <v>0</v>
      </c>
      <c r="M280" s="113">
        <v>0</v>
      </c>
    </row>
    <row r="281" spans="1:13" s="114" customFormat="1">
      <c r="A281" s="107">
        <v>2790</v>
      </c>
      <c r="B281" s="107">
        <v>2800</v>
      </c>
      <c r="C281" s="107">
        <v>66450</v>
      </c>
      <c r="D281" s="107">
        <v>48950</v>
      </c>
      <c r="E281" s="107">
        <v>24850</v>
      </c>
      <c r="F281" s="107">
        <v>19600</v>
      </c>
      <c r="G281" s="107">
        <v>15920</v>
      </c>
      <c r="H281" s="107">
        <v>12550</v>
      </c>
      <c r="I281" s="107">
        <v>9170</v>
      </c>
      <c r="J281" s="107">
        <v>5800</v>
      </c>
      <c r="K281" s="107">
        <v>2420</v>
      </c>
      <c r="L281" s="113">
        <v>0</v>
      </c>
      <c r="M281" s="113">
        <v>0</v>
      </c>
    </row>
    <row r="282" spans="1:13" s="114" customFormat="1">
      <c r="A282" s="107">
        <v>2800</v>
      </c>
      <c r="B282" s="107">
        <v>2810</v>
      </c>
      <c r="C282" s="107">
        <v>67300</v>
      </c>
      <c r="D282" s="107">
        <v>49800</v>
      </c>
      <c r="E282" s="107">
        <v>25180</v>
      </c>
      <c r="F282" s="107">
        <v>19930</v>
      </c>
      <c r="G282" s="107">
        <v>16130</v>
      </c>
      <c r="H282" s="107">
        <v>12760</v>
      </c>
      <c r="I282" s="107">
        <v>9380</v>
      </c>
      <c r="J282" s="107">
        <v>6010</v>
      </c>
      <c r="K282" s="107">
        <v>2630</v>
      </c>
      <c r="L282" s="113">
        <v>0</v>
      </c>
      <c r="M282" s="113">
        <v>0</v>
      </c>
    </row>
    <row r="283" spans="1:13" s="114" customFormat="1">
      <c r="A283" s="107">
        <v>2810</v>
      </c>
      <c r="B283" s="107">
        <v>2820</v>
      </c>
      <c r="C283" s="107">
        <v>68160</v>
      </c>
      <c r="D283" s="107">
        <v>50660</v>
      </c>
      <c r="E283" s="107">
        <v>25510</v>
      </c>
      <c r="F283" s="107">
        <v>20260</v>
      </c>
      <c r="G283" s="107">
        <v>16350</v>
      </c>
      <c r="H283" s="107">
        <v>12970</v>
      </c>
      <c r="I283" s="107">
        <v>9600</v>
      </c>
      <c r="J283" s="107">
        <v>6220</v>
      </c>
      <c r="K283" s="107">
        <v>2850</v>
      </c>
      <c r="L283" s="113">
        <v>0</v>
      </c>
      <c r="M283" s="113">
        <v>0</v>
      </c>
    </row>
    <row r="284" spans="1:13" s="114" customFormat="1">
      <c r="A284" s="107">
        <v>2820</v>
      </c>
      <c r="B284" s="107">
        <v>2830</v>
      </c>
      <c r="C284" s="107">
        <v>69020</v>
      </c>
      <c r="D284" s="107">
        <v>51520</v>
      </c>
      <c r="E284" s="107">
        <v>25840</v>
      </c>
      <c r="F284" s="107">
        <v>20590</v>
      </c>
      <c r="G284" s="107">
        <v>16560</v>
      </c>
      <c r="H284" s="107">
        <v>13180</v>
      </c>
      <c r="I284" s="107">
        <v>9810</v>
      </c>
      <c r="J284" s="107">
        <v>6430</v>
      </c>
      <c r="K284" s="107">
        <v>3060</v>
      </c>
      <c r="L284" s="113">
        <v>0</v>
      </c>
      <c r="M284" s="113">
        <v>0</v>
      </c>
    </row>
    <row r="285" spans="1:13" s="114" customFormat="1">
      <c r="A285" s="107">
        <v>2830</v>
      </c>
      <c r="B285" s="107">
        <v>2840</v>
      </c>
      <c r="C285" s="107">
        <v>69870</v>
      </c>
      <c r="D285" s="107">
        <v>52370</v>
      </c>
      <c r="E285" s="107">
        <v>26170</v>
      </c>
      <c r="F285" s="107">
        <v>20920</v>
      </c>
      <c r="G285" s="107">
        <v>16770</v>
      </c>
      <c r="H285" s="107">
        <v>13400</v>
      </c>
      <c r="I285" s="107">
        <v>10020</v>
      </c>
      <c r="J285" s="107">
        <v>6650</v>
      </c>
      <c r="K285" s="107">
        <v>3270</v>
      </c>
      <c r="L285" s="113">
        <v>0</v>
      </c>
      <c r="M285" s="113">
        <v>0</v>
      </c>
    </row>
    <row r="286" spans="1:13" s="114" customFormat="1">
      <c r="A286" s="107">
        <v>2840</v>
      </c>
      <c r="B286" s="107">
        <v>2850</v>
      </c>
      <c r="C286" s="107">
        <v>70730</v>
      </c>
      <c r="D286" s="107">
        <v>53230</v>
      </c>
      <c r="E286" s="107">
        <v>26500</v>
      </c>
      <c r="F286" s="107">
        <v>21250</v>
      </c>
      <c r="G286" s="107">
        <v>16980</v>
      </c>
      <c r="H286" s="107">
        <v>13610</v>
      </c>
      <c r="I286" s="107">
        <v>10230</v>
      </c>
      <c r="J286" s="107">
        <v>6860</v>
      </c>
      <c r="K286" s="107">
        <v>3480</v>
      </c>
      <c r="L286" s="113">
        <v>0</v>
      </c>
      <c r="M286" s="113">
        <v>0</v>
      </c>
    </row>
    <row r="287" spans="1:13" s="114" customFormat="1">
      <c r="A287" s="107">
        <v>2850</v>
      </c>
      <c r="B287" s="107">
        <v>2860</v>
      </c>
      <c r="C287" s="107">
        <v>71580</v>
      </c>
      <c r="D287" s="107">
        <v>54080</v>
      </c>
      <c r="E287" s="107">
        <v>26830</v>
      </c>
      <c r="F287" s="107">
        <v>21580</v>
      </c>
      <c r="G287" s="107">
        <v>17190</v>
      </c>
      <c r="H287" s="107">
        <v>13820</v>
      </c>
      <c r="I287" s="107">
        <v>10440</v>
      </c>
      <c r="J287" s="107">
        <v>7070</v>
      </c>
      <c r="K287" s="107">
        <v>3690</v>
      </c>
      <c r="L287" s="113">
        <v>0</v>
      </c>
      <c r="M287" s="113">
        <v>0</v>
      </c>
    </row>
    <row r="288" spans="1:13" s="114" customFormat="1">
      <c r="A288" s="107">
        <v>2860</v>
      </c>
      <c r="B288" s="107">
        <v>2870</v>
      </c>
      <c r="C288" s="107">
        <v>72440</v>
      </c>
      <c r="D288" s="107">
        <v>54940</v>
      </c>
      <c r="E288" s="107">
        <v>27160</v>
      </c>
      <c r="F288" s="107">
        <v>21910</v>
      </c>
      <c r="G288" s="107">
        <v>17410</v>
      </c>
      <c r="H288" s="107">
        <v>14030</v>
      </c>
      <c r="I288" s="107">
        <v>10660</v>
      </c>
      <c r="J288" s="107">
        <v>7280</v>
      </c>
      <c r="K288" s="107">
        <v>3910</v>
      </c>
      <c r="L288" s="113">
        <v>0</v>
      </c>
      <c r="M288" s="113">
        <v>0</v>
      </c>
    </row>
    <row r="289" spans="1:13" s="114" customFormat="1">
      <c r="A289" s="107">
        <v>2870</v>
      </c>
      <c r="B289" s="107">
        <v>2880</v>
      </c>
      <c r="C289" s="107">
        <v>73290</v>
      </c>
      <c r="D289" s="107">
        <v>55790</v>
      </c>
      <c r="E289" s="107">
        <v>27490</v>
      </c>
      <c r="F289" s="107">
        <v>22240</v>
      </c>
      <c r="G289" s="107">
        <v>17620</v>
      </c>
      <c r="H289" s="107">
        <v>14240</v>
      </c>
      <c r="I289" s="107">
        <v>10870</v>
      </c>
      <c r="J289" s="107">
        <v>7490</v>
      </c>
      <c r="K289" s="107">
        <v>4120</v>
      </c>
      <c r="L289" s="113">
        <v>0</v>
      </c>
      <c r="M289" s="113">
        <v>0</v>
      </c>
    </row>
    <row r="290" spans="1:13" s="114" customFormat="1">
      <c r="A290" s="107">
        <v>2880</v>
      </c>
      <c r="B290" s="107">
        <v>2890</v>
      </c>
      <c r="C290" s="107">
        <v>74150</v>
      </c>
      <c r="D290" s="107">
        <v>56650</v>
      </c>
      <c r="E290" s="107">
        <v>27820</v>
      </c>
      <c r="F290" s="107">
        <v>22570</v>
      </c>
      <c r="G290" s="107">
        <v>17830</v>
      </c>
      <c r="H290" s="107">
        <v>14460</v>
      </c>
      <c r="I290" s="107">
        <v>11080</v>
      </c>
      <c r="J290" s="107">
        <v>7710</v>
      </c>
      <c r="K290" s="107">
        <v>4330</v>
      </c>
      <c r="L290" s="113">
        <v>0</v>
      </c>
      <c r="M290" s="113">
        <v>0</v>
      </c>
    </row>
    <row r="291" spans="1:13" s="114" customFormat="1">
      <c r="A291" s="107">
        <v>2890</v>
      </c>
      <c r="B291" s="107">
        <v>2900</v>
      </c>
      <c r="C291" s="107">
        <v>75010</v>
      </c>
      <c r="D291" s="107">
        <v>57510</v>
      </c>
      <c r="E291" s="107">
        <v>28150</v>
      </c>
      <c r="F291" s="107">
        <v>22900</v>
      </c>
      <c r="G291" s="107">
        <v>18040</v>
      </c>
      <c r="H291" s="107">
        <v>14670</v>
      </c>
      <c r="I291" s="107">
        <v>11290</v>
      </c>
      <c r="J291" s="107">
        <v>7920</v>
      </c>
      <c r="K291" s="107">
        <v>4540</v>
      </c>
      <c r="L291" s="107">
        <v>1170</v>
      </c>
      <c r="M291" s="113">
        <v>0</v>
      </c>
    </row>
    <row r="292" spans="1:13" s="114" customFormat="1">
      <c r="A292" s="107">
        <v>2900</v>
      </c>
      <c r="B292" s="107">
        <v>2910</v>
      </c>
      <c r="C292" s="107">
        <v>75860</v>
      </c>
      <c r="D292" s="107">
        <v>58360</v>
      </c>
      <c r="E292" s="107">
        <v>28480</v>
      </c>
      <c r="F292" s="107">
        <v>23230</v>
      </c>
      <c r="G292" s="107">
        <v>18250</v>
      </c>
      <c r="H292" s="107">
        <v>14880</v>
      </c>
      <c r="I292" s="107">
        <v>11500</v>
      </c>
      <c r="J292" s="107">
        <v>8130</v>
      </c>
      <c r="K292" s="107">
        <v>4750</v>
      </c>
      <c r="L292" s="107">
        <v>1380</v>
      </c>
      <c r="M292" s="113">
        <v>0</v>
      </c>
    </row>
    <row r="293" spans="1:13" s="114" customFormat="1">
      <c r="A293" s="107">
        <v>2910</v>
      </c>
      <c r="B293" s="107">
        <v>2920</v>
      </c>
      <c r="C293" s="107">
        <v>76720</v>
      </c>
      <c r="D293" s="107">
        <v>59220</v>
      </c>
      <c r="E293" s="107">
        <v>28810</v>
      </c>
      <c r="F293" s="107">
        <v>23560</v>
      </c>
      <c r="G293" s="107">
        <v>18470</v>
      </c>
      <c r="H293" s="107">
        <v>15090</v>
      </c>
      <c r="I293" s="107">
        <v>11720</v>
      </c>
      <c r="J293" s="107">
        <v>8340</v>
      </c>
      <c r="K293" s="107">
        <v>4970</v>
      </c>
      <c r="L293" s="107">
        <v>1590</v>
      </c>
      <c r="M293" s="113">
        <v>0</v>
      </c>
    </row>
    <row r="294" spans="1:13" s="114" customFormat="1">
      <c r="A294" s="107">
        <v>2920</v>
      </c>
      <c r="B294" s="107">
        <v>2930</v>
      </c>
      <c r="C294" s="107">
        <v>77570</v>
      </c>
      <c r="D294" s="107">
        <v>60070</v>
      </c>
      <c r="E294" s="107">
        <v>29140</v>
      </c>
      <c r="F294" s="107">
        <v>23890</v>
      </c>
      <c r="G294" s="107">
        <v>18680</v>
      </c>
      <c r="H294" s="107">
        <v>15300</v>
      </c>
      <c r="I294" s="107">
        <v>11930</v>
      </c>
      <c r="J294" s="107">
        <v>8550</v>
      </c>
      <c r="K294" s="107">
        <v>5180</v>
      </c>
      <c r="L294" s="107">
        <v>1800</v>
      </c>
      <c r="M294" s="113">
        <v>0</v>
      </c>
    </row>
    <row r="295" spans="1:13" s="114" customFormat="1">
      <c r="A295" s="107">
        <v>2930</v>
      </c>
      <c r="B295" s="107">
        <v>2940</v>
      </c>
      <c r="C295" s="107">
        <v>78430</v>
      </c>
      <c r="D295" s="107">
        <v>60930</v>
      </c>
      <c r="E295" s="107">
        <v>29470</v>
      </c>
      <c r="F295" s="107">
        <v>24220</v>
      </c>
      <c r="G295" s="107">
        <v>18970</v>
      </c>
      <c r="H295" s="107">
        <v>15510</v>
      </c>
      <c r="I295" s="107">
        <v>12140</v>
      </c>
      <c r="J295" s="107">
        <v>8760</v>
      </c>
      <c r="K295" s="107">
        <v>5390</v>
      </c>
      <c r="L295" s="107">
        <v>2010</v>
      </c>
      <c r="M295" s="113">
        <v>0</v>
      </c>
    </row>
    <row r="296" spans="1:13" s="114" customFormat="1">
      <c r="A296" s="107">
        <v>2940</v>
      </c>
      <c r="B296" s="107">
        <v>2950</v>
      </c>
      <c r="C296" s="107">
        <v>79280</v>
      </c>
      <c r="D296" s="107">
        <v>61780</v>
      </c>
      <c r="E296" s="107">
        <v>29800</v>
      </c>
      <c r="F296" s="107">
        <v>24550</v>
      </c>
      <c r="G296" s="107">
        <v>19300</v>
      </c>
      <c r="H296" s="107">
        <v>15730</v>
      </c>
      <c r="I296" s="107">
        <v>12350</v>
      </c>
      <c r="J296" s="107">
        <v>8980</v>
      </c>
      <c r="K296" s="107">
        <v>5600</v>
      </c>
      <c r="L296" s="107">
        <v>2230</v>
      </c>
      <c r="M296" s="113">
        <v>0</v>
      </c>
    </row>
    <row r="297" spans="1:13" s="114" customFormat="1">
      <c r="A297" s="107">
        <v>2950</v>
      </c>
      <c r="B297" s="107">
        <v>2960</v>
      </c>
      <c r="C297" s="107">
        <v>80140</v>
      </c>
      <c r="D297" s="107">
        <v>62640</v>
      </c>
      <c r="E297" s="107">
        <v>30130</v>
      </c>
      <c r="F297" s="107">
        <v>24880</v>
      </c>
      <c r="G297" s="107">
        <v>19630</v>
      </c>
      <c r="H297" s="107">
        <v>15940</v>
      </c>
      <c r="I297" s="107">
        <v>12560</v>
      </c>
      <c r="J297" s="107">
        <v>9190</v>
      </c>
      <c r="K297" s="107">
        <v>5810</v>
      </c>
      <c r="L297" s="107">
        <v>2440</v>
      </c>
      <c r="M297" s="113">
        <v>0</v>
      </c>
    </row>
    <row r="298" spans="1:13" s="114" customFormat="1">
      <c r="A298" s="107">
        <v>2960</v>
      </c>
      <c r="B298" s="107">
        <v>2970</v>
      </c>
      <c r="C298" s="107">
        <v>81000</v>
      </c>
      <c r="D298" s="107">
        <v>63500</v>
      </c>
      <c r="E298" s="107">
        <v>30460</v>
      </c>
      <c r="F298" s="107">
        <v>25210</v>
      </c>
      <c r="G298" s="107">
        <v>19960</v>
      </c>
      <c r="H298" s="107">
        <v>16150</v>
      </c>
      <c r="I298" s="107">
        <v>12780</v>
      </c>
      <c r="J298" s="107">
        <v>9400</v>
      </c>
      <c r="K298" s="107">
        <v>6030</v>
      </c>
      <c r="L298" s="107">
        <v>2650</v>
      </c>
      <c r="M298" s="113">
        <v>0</v>
      </c>
    </row>
    <row r="299" spans="1:13" s="114" customFormat="1">
      <c r="A299" s="107">
        <v>2970</v>
      </c>
      <c r="B299" s="107">
        <v>2980</v>
      </c>
      <c r="C299" s="107">
        <v>81850</v>
      </c>
      <c r="D299" s="107">
        <v>64350</v>
      </c>
      <c r="E299" s="107">
        <v>30790</v>
      </c>
      <c r="F299" s="107">
        <v>25540</v>
      </c>
      <c r="G299" s="107">
        <v>20290</v>
      </c>
      <c r="H299" s="107">
        <v>16360</v>
      </c>
      <c r="I299" s="107">
        <v>12990</v>
      </c>
      <c r="J299" s="107">
        <v>9610</v>
      </c>
      <c r="K299" s="107">
        <v>6240</v>
      </c>
      <c r="L299" s="107">
        <v>2860</v>
      </c>
      <c r="M299" s="113">
        <v>0</v>
      </c>
    </row>
    <row r="300" spans="1:13" s="114" customFormat="1">
      <c r="A300" s="107">
        <v>2980</v>
      </c>
      <c r="B300" s="107">
        <v>2990</v>
      </c>
      <c r="C300" s="107">
        <v>82710</v>
      </c>
      <c r="D300" s="107">
        <v>65210</v>
      </c>
      <c r="E300" s="107">
        <v>31120</v>
      </c>
      <c r="F300" s="107">
        <v>25870</v>
      </c>
      <c r="G300" s="107">
        <v>20620</v>
      </c>
      <c r="H300" s="107">
        <v>16570</v>
      </c>
      <c r="I300" s="107">
        <v>13200</v>
      </c>
      <c r="J300" s="107">
        <v>9820</v>
      </c>
      <c r="K300" s="107">
        <v>6450</v>
      </c>
      <c r="L300" s="107">
        <v>3070</v>
      </c>
      <c r="M300" s="113">
        <v>0</v>
      </c>
    </row>
    <row r="301" spans="1:13" s="114" customFormat="1">
      <c r="A301" s="107">
        <v>2990</v>
      </c>
      <c r="B301" s="107">
        <v>3000</v>
      </c>
      <c r="C301" s="107">
        <v>83560</v>
      </c>
      <c r="D301" s="107">
        <v>66060</v>
      </c>
      <c r="E301" s="107">
        <v>31450</v>
      </c>
      <c r="F301" s="107">
        <v>26200</v>
      </c>
      <c r="G301" s="107">
        <v>20950</v>
      </c>
      <c r="H301" s="107">
        <v>16790</v>
      </c>
      <c r="I301" s="107">
        <v>13410</v>
      </c>
      <c r="J301" s="107">
        <v>10040</v>
      </c>
      <c r="K301" s="107">
        <v>6660</v>
      </c>
      <c r="L301" s="107">
        <v>3290</v>
      </c>
      <c r="M301" s="113">
        <v>0</v>
      </c>
    </row>
    <row r="302" spans="1:13" s="114" customFormat="1">
      <c r="A302" s="107">
        <v>3000</v>
      </c>
      <c r="B302" s="107">
        <v>3020</v>
      </c>
      <c r="C302" s="107">
        <v>84850</v>
      </c>
      <c r="D302" s="107">
        <v>67350</v>
      </c>
      <c r="E302" s="107">
        <v>32490</v>
      </c>
      <c r="F302" s="107">
        <v>26690</v>
      </c>
      <c r="G302" s="107">
        <v>21440</v>
      </c>
      <c r="H302" s="107">
        <v>17100</v>
      </c>
      <c r="I302" s="107">
        <v>13730</v>
      </c>
      <c r="J302" s="107">
        <v>10350</v>
      </c>
      <c r="K302" s="107">
        <v>6980</v>
      </c>
      <c r="L302" s="107">
        <v>3600</v>
      </c>
      <c r="M302" s="113">
        <v>0</v>
      </c>
    </row>
    <row r="303" spans="1:13" s="114" customFormat="1">
      <c r="A303" s="107">
        <v>3020</v>
      </c>
      <c r="B303" s="107">
        <v>3040</v>
      </c>
      <c r="C303" s="107">
        <v>86560</v>
      </c>
      <c r="D303" s="107">
        <v>69060</v>
      </c>
      <c r="E303" s="107">
        <v>34140</v>
      </c>
      <c r="F303" s="107">
        <v>27350</v>
      </c>
      <c r="G303" s="107">
        <v>22100</v>
      </c>
      <c r="H303" s="107">
        <v>17530</v>
      </c>
      <c r="I303" s="107">
        <v>14150</v>
      </c>
      <c r="J303" s="107">
        <v>10780</v>
      </c>
      <c r="K303" s="107">
        <v>7400</v>
      </c>
      <c r="L303" s="107">
        <v>4030</v>
      </c>
      <c r="M303" s="113">
        <v>0</v>
      </c>
    </row>
    <row r="304" spans="1:13" s="114" customFormat="1">
      <c r="A304" s="107">
        <v>3040</v>
      </c>
      <c r="B304" s="107">
        <v>3060</v>
      </c>
      <c r="C304" s="107">
        <v>88270</v>
      </c>
      <c r="D304" s="107">
        <v>70770</v>
      </c>
      <c r="E304" s="107">
        <v>35790</v>
      </c>
      <c r="F304" s="107">
        <v>28010</v>
      </c>
      <c r="G304" s="107">
        <v>22760</v>
      </c>
      <c r="H304" s="107">
        <v>17950</v>
      </c>
      <c r="I304" s="107">
        <v>14580</v>
      </c>
      <c r="J304" s="107">
        <v>11200</v>
      </c>
      <c r="K304" s="107">
        <v>7830</v>
      </c>
      <c r="L304" s="107">
        <v>4450</v>
      </c>
      <c r="M304" s="107">
        <v>1080</v>
      </c>
    </row>
    <row r="305" spans="1:13" s="114" customFormat="1">
      <c r="A305" s="107">
        <v>3060</v>
      </c>
      <c r="B305" s="107">
        <v>3080</v>
      </c>
      <c r="C305" s="107">
        <v>89980</v>
      </c>
      <c r="D305" s="107">
        <v>72480</v>
      </c>
      <c r="E305" s="107">
        <v>37440</v>
      </c>
      <c r="F305" s="107">
        <v>28670</v>
      </c>
      <c r="G305" s="107">
        <v>23420</v>
      </c>
      <c r="H305" s="107">
        <v>18380</v>
      </c>
      <c r="I305" s="107">
        <v>15000</v>
      </c>
      <c r="J305" s="107">
        <v>11630</v>
      </c>
      <c r="K305" s="107">
        <v>8250</v>
      </c>
      <c r="L305" s="107">
        <v>4880</v>
      </c>
      <c r="M305" s="107">
        <v>1500</v>
      </c>
    </row>
    <row r="306" spans="1:13" s="114" customFormat="1">
      <c r="A306" s="107">
        <v>3080</v>
      </c>
      <c r="B306" s="107">
        <v>3100</v>
      </c>
      <c r="C306" s="107">
        <v>91690</v>
      </c>
      <c r="D306" s="107">
        <v>74190</v>
      </c>
      <c r="E306" s="107">
        <v>39080</v>
      </c>
      <c r="F306" s="107">
        <v>29330</v>
      </c>
      <c r="G306" s="107">
        <v>24080</v>
      </c>
      <c r="H306" s="107">
        <v>18830</v>
      </c>
      <c r="I306" s="107">
        <v>15430</v>
      </c>
      <c r="J306" s="107">
        <v>12050</v>
      </c>
      <c r="K306" s="107">
        <v>8680</v>
      </c>
      <c r="L306" s="107">
        <v>5300</v>
      </c>
      <c r="M306" s="107">
        <v>1930</v>
      </c>
    </row>
    <row r="307" spans="1:13" s="114" customFormat="1">
      <c r="A307" s="107">
        <v>3100</v>
      </c>
      <c r="B307" s="107">
        <v>3120</v>
      </c>
      <c r="C307" s="107">
        <v>93400</v>
      </c>
      <c r="D307" s="107">
        <v>75900</v>
      </c>
      <c r="E307" s="107">
        <v>40730</v>
      </c>
      <c r="F307" s="107">
        <v>29990</v>
      </c>
      <c r="G307" s="107">
        <v>24740</v>
      </c>
      <c r="H307" s="107">
        <v>19490</v>
      </c>
      <c r="I307" s="107">
        <v>15850</v>
      </c>
      <c r="J307" s="107">
        <v>12470</v>
      </c>
      <c r="K307" s="107">
        <v>9100</v>
      </c>
      <c r="L307" s="107">
        <v>5720</v>
      </c>
      <c r="M307" s="107">
        <v>2350</v>
      </c>
    </row>
    <row r="308" spans="1:13" s="114" customFormat="1">
      <c r="A308" s="107">
        <v>3120</v>
      </c>
      <c r="B308" s="107">
        <v>3140</v>
      </c>
      <c r="C308" s="107">
        <v>95760</v>
      </c>
      <c r="D308" s="107">
        <v>77620</v>
      </c>
      <c r="E308" s="107">
        <v>42380</v>
      </c>
      <c r="F308" s="107">
        <v>30650</v>
      </c>
      <c r="G308" s="107">
        <v>25400</v>
      </c>
      <c r="H308" s="107">
        <v>20150</v>
      </c>
      <c r="I308" s="107">
        <v>16270</v>
      </c>
      <c r="J308" s="107">
        <v>12900</v>
      </c>
      <c r="K308" s="107">
        <v>9520</v>
      </c>
      <c r="L308" s="107">
        <v>6150</v>
      </c>
      <c r="M308" s="107">
        <v>2770</v>
      </c>
    </row>
    <row r="309" spans="1:13" s="114" customFormat="1">
      <c r="A309" s="107">
        <v>3140</v>
      </c>
      <c r="B309" s="107">
        <v>3160</v>
      </c>
      <c r="C309" s="107">
        <v>98210</v>
      </c>
      <c r="D309" s="107">
        <v>79330</v>
      </c>
      <c r="E309" s="107">
        <v>44030</v>
      </c>
      <c r="F309" s="107">
        <v>31310</v>
      </c>
      <c r="G309" s="107">
        <v>26060</v>
      </c>
      <c r="H309" s="107">
        <v>20810</v>
      </c>
      <c r="I309" s="107">
        <v>16700</v>
      </c>
      <c r="J309" s="107">
        <v>13320</v>
      </c>
      <c r="K309" s="107">
        <v>9950</v>
      </c>
      <c r="L309" s="107">
        <v>6570</v>
      </c>
      <c r="M309" s="107">
        <v>3200</v>
      </c>
    </row>
    <row r="310" spans="1:13" s="114" customFormat="1">
      <c r="A310" s="107">
        <v>3160</v>
      </c>
      <c r="B310" s="107">
        <v>3180</v>
      </c>
      <c r="C310" s="107">
        <v>100650</v>
      </c>
      <c r="D310" s="107">
        <v>81040</v>
      </c>
      <c r="E310" s="107">
        <v>45680</v>
      </c>
      <c r="F310" s="107">
        <v>32550</v>
      </c>
      <c r="G310" s="107">
        <v>26720</v>
      </c>
      <c r="H310" s="107">
        <v>21470</v>
      </c>
      <c r="I310" s="107">
        <v>17120</v>
      </c>
      <c r="J310" s="107">
        <v>13750</v>
      </c>
      <c r="K310" s="107">
        <v>10370</v>
      </c>
      <c r="L310" s="107">
        <v>7000</v>
      </c>
      <c r="M310" s="107">
        <v>3620</v>
      </c>
    </row>
    <row r="311" spans="1:13" s="114" customFormat="1">
      <c r="A311" s="107">
        <v>3180</v>
      </c>
      <c r="B311" s="107">
        <v>3200</v>
      </c>
      <c r="C311" s="107">
        <v>103100</v>
      </c>
      <c r="D311" s="107">
        <v>82750</v>
      </c>
      <c r="E311" s="107">
        <v>47330</v>
      </c>
      <c r="F311" s="107">
        <v>34200</v>
      </c>
      <c r="G311" s="107">
        <v>27380</v>
      </c>
      <c r="H311" s="107">
        <v>22130</v>
      </c>
      <c r="I311" s="107">
        <v>17540</v>
      </c>
      <c r="J311" s="107">
        <v>14170</v>
      </c>
      <c r="K311" s="107">
        <v>10790</v>
      </c>
      <c r="L311" s="107">
        <v>7420</v>
      </c>
      <c r="M311" s="107">
        <v>4040</v>
      </c>
    </row>
    <row r="312" spans="1:13" s="114" customFormat="1">
      <c r="A312" s="107">
        <v>3200</v>
      </c>
      <c r="B312" s="107">
        <v>3220</v>
      </c>
      <c r="C312" s="107">
        <v>105540</v>
      </c>
      <c r="D312" s="107">
        <v>84460</v>
      </c>
      <c r="E312" s="107">
        <v>48980</v>
      </c>
      <c r="F312" s="107">
        <v>35850</v>
      </c>
      <c r="G312" s="107">
        <v>28040</v>
      </c>
      <c r="H312" s="107">
        <v>22790</v>
      </c>
      <c r="I312" s="107">
        <v>17970</v>
      </c>
      <c r="J312" s="107">
        <v>14590</v>
      </c>
      <c r="K312" s="107">
        <v>11220</v>
      </c>
      <c r="L312" s="107">
        <v>7840</v>
      </c>
      <c r="M312" s="107">
        <v>4470</v>
      </c>
    </row>
    <row r="313" spans="1:13" s="114" customFormat="1">
      <c r="A313" s="107">
        <v>3220</v>
      </c>
      <c r="B313" s="107">
        <v>3240</v>
      </c>
      <c r="C313" s="107">
        <v>107990</v>
      </c>
      <c r="D313" s="107">
        <v>86170</v>
      </c>
      <c r="E313" s="107">
        <v>50620</v>
      </c>
      <c r="F313" s="107">
        <v>37500</v>
      </c>
      <c r="G313" s="107">
        <v>28700</v>
      </c>
      <c r="H313" s="107">
        <v>23450</v>
      </c>
      <c r="I313" s="107">
        <v>18390</v>
      </c>
      <c r="J313" s="107">
        <v>15020</v>
      </c>
      <c r="K313" s="107">
        <v>11640</v>
      </c>
      <c r="L313" s="107">
        <v>8270</v>
      </c>
      <c r="M313" s="107">
        <v>4890</v>
      </c>
    </row>
    <row r="314" spans="1:13" s="114" customFormat="1">
      <c r="A314" s="107">
        <v>3240</v>
      </c>
      <c r="B314" s="107">
        <v>3260</v>
      </c>
      <c r="C314" s="107">
        <v>110430</v>
      </c>
      <c r="D314" s="107">
        <v>87880</v>
      </c>
      <c r="E314" s="107">
        <v>52270</v>
      </c>
      <c r="F314" s="107">
        <v>39150</v>
      </c>
      <c r="G314" s="107">
        <v>29360</v>
      </c>
      <c r="H314" s="107">
        <v>24110</v>
      </c>
      <c r="I314" s="107">
        <v>18860</v>
      </c>
      <c r="J314" s="107">
        <v>15440</v>
      </c>
      <c r="K314" s="107">
        <v>12070</v>
      </c>
      <c r="L314" s="107">
        <v>8690</v>
      </c>
      <c r="M314" s="107">
        <v>5320</v>
      </c>
    </row>
    <row r="315" spans="1:13" s="114" customFormat="1">
      <c r="A315" s="107">
        <v>3260</v>
      </c>
      <c r="B315" s="107">
        <v>3280</v>
      </c>
      <c r="C315" s="107">
        <v>112880</v>
      </c>
      <c r="D315" s="107">
        <v>89600</v>
      </c>
      <c r="E315" s="107">
        <v>53920</v>
      </c>
      <c r="F315" s="107">
        <v>40800</v>
      </c>
      <c r="G315" s="107">
        <v>30020</v>
      </c>
      <c r="H315" s="107">
        <v>24770</v>
      </c>
      <c r="I315" s="107">
        <v>19520</v>
      </c>
      <c r="J315" s="107">
        <v>15870</v>
      </c>
      <c r="K315" s="107">
        <v>12490</v>
      </c>
      <c r="L315" s="107">
        <v>9120</v>
      </c>
      <c r="M315" s="107">
        <v>5740</v>
      </c>
    </row>
    <row r="316" spans="1:13" s="114" customFormat="1">
      <c r="A316" s="107">
        <v>3280</v>
      </c>
      <c r="B316" s="107">
        <v>3300</v>
      </c>
      <c r="C316" s="107">
        <v>115320</v>
      </c>
      <c r="D316" s="107">
        <v>91310</v>
      </c>
      <c r="E316" s="107">
        <v>55570</v>
      </c>
      <c r="F316" s="107">
        <v>42440</v>
      </c>
      <c r="G316" s="107">
        <v>30670</v>
      </c>
      <c r="H316" s="107">
        <v>25420</v>
      </c>
      <c r="I316" s="107">
        <v>20170</v>
      </c>
      <c r="J316" s="107">
        <v>16290</v>
      </c>
      <c r="K316" s="107">
        <v>12910</v>
      </c>
      <c r="L316" s="107">
        <v>9540</v>
      </c>
      <c r="M316" s="107">
        <v>6160</v>
      </c>
    </row>
    <row r="317" spans="1:13" s="114" customFormat="1">
      <c r="A317" s="107">
        <v>3300</v>
      </c>
      <c r="B317" s="107">
        <v>3320</v>
      </c>
      <c r="C317" s="107">
        <v>117770</v>
      </c>
      <c r="D317" s="107">
        <v>93020</v>
      </c>
      <c r="E317" s="107">
        <v>57220</v>
      </c>
      <c r="F317" s="107">
        <v>44090</v>
      </c>
      <c r="G317" s="107">
        <v>31330</v>
      </c>
      <c r="H317" s="107">
        <v>26080</v>
      </c>
      <c r="I317" s="107">
        <v>20830</v>
      </c>
      <c r="J317" s="107">
        <v>16710</v>
      </c>
      <c r="K317" s="107">
        <v>13340</v>
      </c>
      <c r="L317" s="107">
        <v>9960</v>
      </c>
      <c r="M317" s="107">
        <v>6590</v>
      </c>
    </row>
    <row r="318" spans="1:13" s="114" customFormat="1">
      <c r="A318" s="107">
        <v>3320</v>
      </c>
      <c r="B318" s="107">
        <v>3340</v>
      </c>
      <c r="C318" s="107">
        <v>120210</v>
      </c>
      <c r="D318" s="107">
        <v>95210</v>
      </c>
      <c r="E318" s="107">
        <v>58870</v>
      </c>
      <c r="F318" s="107">
        <v>45740</v>
      </c>
      <c r="G318" s="107">
        <v>32620</v>
      </c>
      <c r="H318" s="107">
        <v>26740</v>
      </c>
      <c r="I318" s="107">
        <v>21490</v>
      </c>
      <c r="J318" s="107">
        <v>17140</v>
      </c>
      <c r="K318" s="107">
        <v>13760</v>
      </c>
      <c r="L318" s="107">
        <v>10390</v>
      </c>
      <c r="M318" s="107">
        <v>7010</v>
      </c>
    </row>
    <row r="319" spans="1:13" s="114" customFormat="1">
      <c r="A319" s="107">
        <v>3340</v>
      </c>
      <c r="B319" s="107">
        <v>3360</v>
      </c>
      <c r="C319" s="107">
        <v>122660</v>
      </c>
      <c r="D319" s="107">
        <v>97660</v>
      </c>
      <c r="E319" s="107">
        <v>60440</v>
      </c>
      <c r="F319" s="107">
        <v>47320</v>
      </c>
      <c r="G319" s="107">
        <v>34190</v>
      </c>
      <c r="H319" s="107">
        <v>27370</v>
      </c>
      <c r="I319" s="107">
        <v>22120</v>
      </c>
      <c r="J319" s="107">
        <v>17540</v>
      </c>
      <c r="K319" s="107">
        <v>14170</v>
      </c>
      <c r="L319" s="107">
        <v>10790</v>
      </c>
      <c r="M319" s="107">
        <v>7420</v>
      </c>
    </row>
    <row r="320" spans="1:13" s="114" customFormat="1">
      <c r="A320" s="107">
        <v>3360</v>
      </c>
      <c r="B320" s="107">
        <v>3380</v>
      </c>
      <c r="C320" s="107">
        <v>125100</v>
      </c>
      <c r="D320" s="107">
        <v>100100</v>
      </c>
      <c r="E320" s="107">
        <v>62010</v>
      </c>
      <c r="F320" s="107">
        <v>48880</v>
      </c>
      <c r="G320" s="107">
        <v>35760</v>
      </c>
      <c r="H320" s="107">
        <v>28000</v>
      </c>
      <c r="I320" s="107">
        <v>22750</v>
      </c>
      <c r="J320" s="107">
        <v>17950</v>
      </c>
      <c r="K320" s="107">
        <v>14570</v>
      </c>
      <c r="L320" s="107">
        <v>11200</v>
      </c>
      <c r="M320" s="107">
        <v>7820</v>
      </c>
    </row>
    <row r="321" spans="1:13" s="114" customFormat="1">
      <c r="A321" s="107">
        <v>3380</v>
      </c>
      <c r="B321" s="107">
        <v>3400</v>
      </c>
      <c r="C321" s="107">
        <v>127550</v>
      </c>
      <c r="D321" s="107">
        <v>102550</v>
      </c>
      <c r="E321" s="107">
        <v>63570</v>
      </c>
      <c r="F321" s="107">
        <v>50450</v>
      </c>
      <c r="G321" s="107">
        <v>37320</v>
      </c>
      <c r="H321" s="107">
        <v>28630</v>
      </c>
      <c r="I321" s="107">
        <v>23380</v>
      </c>
      <c r="J321" s="107">
        <v>18350</v>
      </c>
      <c r="K321" s="107">
        <v>14970</v>
      </c>
      <c r="L321" s="107">
        <v>11600</v>
      </c>
      <c r="M321" s="107">
        <v>8220</v>
      </c>
    </row>
    <row r="322" spans="1:13" s="114" customFormat="1">
      <c r="A322" s="107">
        <v>3400</v>
      </c>
      <c r="B322" s="107">
        <v>3420</v>
      </c>
      <c r="C322" s="107">
        <v>129990</v>
      </c>
      <c r="D322" s="107">
        <v>104990</v>
      </c>
      <c r="E322" s="107">
        <v>65140</v>
      </c>
      <c r="F322" s="107">
        <v>52010</v>
      </c>
      <c r="G322" s="107">
        <v>38890</v>
      </c>
      <c r="H322" s="107">
        <v>29250</v>
      </c>
      <c r="I322" s="107">
        <v>24000</v>
      </c>
      <c r="J322" s="107">
        <v>18750</v>
      </c>
      <c r="K322" s="107">
        <v>15370</v>
      </c>
      <c r="L322" s="107">
        <v>12000</v>
      </c>
      <c r="M322" s="107">
        <v>8620</v>
      </c>
    </row>
    <row r="323" spans="1:13" s="114" customFormat="1">
      <c r="A323" s="107">
        <v>3420</v>
      </c>
      <c r="B323" s="107">
        <v>3440</v>
      </c>
      <c r="C323" s="107">
        <v>132440</v>
      </c>
      <c r="D323" s="107">
        <v>107440</v>
      </c>
      <c r="E323" s="107">
        <v>66700</v>
      </c>
      <c r="F323" s="107">
        <v>53580</v>
      </c>
      <c r="G323" s="107">
        <v>40450</v>
      </c>
      <c r="H323" s="107">
        <v>29880</v>
      </c>
      <c r="I323" s="107">
        <v>24630</v>
      </c>
      <c r="J323" s="107">
        <v>19380</v>
      </c>
      <c r="K323" s="107">
        <v>15780</v>
      </c>
      <c r="L323" s="107">
        <v>12400</v>
      </c>
      <c r="M323" s="107">
        <v>9030</v>
      </c>
    </row>
    <row r="324" spans="1:13" s="114" customFormat="1">
      <c r="A324" s="107">
        <v>3440</v>
      </c>
      <c r="B324" s="107">
        <v>3460</v>
      </c>
      <c r="C324" s="107">
        <v>134880</v>
      </c>
      <c r="D324" s="107">
        <v>109880</v>
      </c>
      <c r="E324" s="107">
        <v>68270</v>
      </c>
      <c r="F324" s="107">
        <v>55140</v>
      </c>
      <c r="G324" s="107">
        <v>42020</v>
      </c>
      <c r="H324" s="107">
        <v>30500</v>
      </c>
      <c r="I324" s="107">
        <v>25250</v>
      </c>
      <c r="J324" s="107">
        <v>20000</v>
      </c>
      <c r="K324" s="107">
        <v>16180</v>
      </c>
      <c r="L324" s="107">
        <v>12800</v>
      </c>
      <c r="M324" s="107">
        <v>9430</v>
      </c>
    </row>
    <row r="325" spans="1:13" s="114" customFormat="1">
      <c r="A325" s="107">
        <v>3460</v>
      </c>
      <c r="B325" s="107">
        <v>3480</v>
      </c>
      <c r="C325" s="107">
        <v>137330</v>
      </c>
      <c r="D325" s="107">
        <v>112330</v>
      </c>
      <c r="E325" s="107">
        <v>69830</v>
      </c>
      <c r="F325" s="107">
        <v>56710</v>
      </c>
      <c r="G325" s="107">
        <v>43580</v>
      </c>
      <c r="H325" s="107">
        <v>31130</v>
      </c>
      <c r="I325" s="107">
        <v>25880</v>
      </c>
      <c r="J325" s="107">
        <v>20630</v>
      </c>
      <c r="K325" s="107">
        <v>16580</v>
      </c>
      <c r="L325" s="107">
        <v>13210</v>
      </c>
      <c r="M325" s="107">
        <v>9830</v>
      </c>
    </row>
    <row r="326" spans="1:13" s="114" customFormat="1">
      <c r="A326" s="107">
        <v>3480</v>
      </c>
      <c r="B326" s="107">
        <v>3500</v>
      </c>
      <c r="C326" s="107">
        <v>139770</v>
      </c>
      <c r="D326" s="107">
        <v>114770</v>
      </c>
      <c r="E326" s="107">
        <v>71400</v>
      </c>
      <c r="F326" s="107">
        <v>58270</v>
      </c>
      <c r="G326" s="107">
        <v>45150</v>
      </c>
      <c r="H326" s="107">
        <v>32020</v>
      </c>
      <c r="I326" s="107">
        <v>26510</v>
      </c>
      <c r="J326" s="107">
        <v>21260</v>
      </c>
      <c r="K326" s="107">
        <v>16980</v>
      </c>
      <c r="L326" s="107">
        <v>13610</v>
      </c>
      <c r="M326" s="107">
        <v>10230</v>
      </c>
    </row>
    <row r="327" spans="1:13" s="114" customFormat="1">
      <c r="A327" s="107">
        <v>3500</v>
      </c>
      <c r="B327" s="107">
        <v>3520</v>
      </c>
      <c r="C327" s="107">
        <v>142220</v>
      </c>
      <c r="D327" s="107">
        <v>117220</v>
      </c>
      <c r="E327" s="107">
        <v>72960</v>
      </c>
      <c r="F327" s="107">
        <v>59840</v>
      </c>
      <c r="G327" s="107">
        <v>46710</v>
      </c>
      <c r="H327" s="107">
        <v>33590</v>
      </c>
      <c r="I327" s="107">
        <v>27130</v>
      </c>
      <c r="J327" s="107">
        <v>21880</v>
      </c>
      <c r="K327" s="107">
        <v>17390</v>
      </c>
      <c r="L327" s="107">
        <v>14010</v>
      </c>
      <c r="M327" s="107">
        <v>10640</v>
      </c>
    </row>
    <row r="328" spans="1:13" s="114" customFormat="1">
      <c r="A328" s="107">
        <v>3520</v>
      </c>
      <c r="B328" s="107">
        <v>3540</v>
      </c>
      <c r="C328" s="107">
        <v>144660</v>
      </c>
      <c r="D328" s="107">
        <v>119660</v>
      </c>
      <c r="E328" s="107">
        <v>74530</v>
      </c>
      <c r="F328" s="107">
        <v>61400</v>
      </c>
      <c r="G328" s="107">
        <v>48280</v>
      </c>
      <c r="H328" s="107">
        <v>35150</v>
      </c>
      <c r="I328" s="107">
        <v>27760</v>
      </c>
      <c r="J328" s="107">
        <v>22510</v>
      </c>
      <c r="K328" s="107">
        <v>17790</v>
      </c>
      <c r="L328" s="107">
        <v>14410</v>
      </c>
      <c r="M328" s="107">
        <v>11040</v>
      </c>
    </row>
    <row r="329" spans="1:13" s="114" customFormat="1">
      <c r="A329" s="107">
        <v>3540</v>
      </c>
      <c r="B329" s="107">
        <v>3560</v>
      </c>
      <c r="C329" s="107">
        <v>147110</v>
      </c>
      <c r="D329" s="107">
        <v>122110</v>
      </c>
      <c r="E329" s="107">
        <v>76090</v>
      </c>
      <c r="F329" s="107">
        <v>62960</v>
      </c>
      <c r="G329" s="107">
        <v>49840</v>
      </c>
      <c r="H329" s="107">
        <v>36710</v>
      </c>
      <c r="I329" s="107">
        <v>28380</v>
      </c>
      <c r="J329" s="107">
        <v>23130</v>
      </c>
      <c r="K329" s="107">
        <v>18190</v>
      </c>
      <c r="L329" s="107">
        <v>14820</v>
      </c>
      <c r="M329" s="107">
        <v>11440</v>
      </c>
    </row>
    <row r="330" spans="1:13" s="114" customFormat="1">
      <c r="A330" s="107">
        <v>3560</v>
      </c>
      <c r="B330" s="107">
        <v>3580</v>
      </c>
      <c r="C330" s="107">
        <v>149550</v>
      </c>
      <c r="D330" s="107">
        <v>124550</v>
      </c>
      <c r="E330" s="107">
        <v>77650</v>
      </c>
      <c r="F330" s="107">
        <v>64530</v>
      </c>
      <c r="G330" s="107">
        <v>51400</v>
      </c>
      <c r="H330" s="107">
        <v>38280</v>
      </c>
      <c r="I330" s="107">
        <v>29010</v>
      </c>
      <c r="J330" s="107">
        <v>23760</v>
      </c>
      <c r="K330" s="107">
        <v>18590</v>
      </c>
      <c r="L330" s="107">
        <v>15220</v>
      </c>
      <c r="M330" s="107">
        <v>11840</v>
      </c>
    </row>
    <row r="331" spans="1:13" s="114" customFormat="1">
      <c r="A331" s="107">
        <v>3580</v>
      </c>
      <c r="B331" s="107">
        <v>3600</v>
      </c>
      <c r="C331" s="107">
        <v>152000</v>
      </c>
      <c r="D331" s="107">
        <v>127000</v>
      </c>
      <c r="E331" s="107">
        <v>79220</v>
      </c>
      <c r="F331" s="107">
        <v>66090</v>
      </c>
      <c r="G331" s="107">
        <v>52970</v>
      </c>
      <c r="H331" s="107">
        <v>39840</v>
      </c>
      <c r="I331" s="107">
        <v>29630</v>
      </c>
      <c r="J331" s="107">
        <v>24380</v>
      </c>
      <c r="K331" s="107">
        <v>19130</v>
      </c>
      <c r="L331" s="107">
        <v>15620</v>
      </c>
      <c r="M331" s="107">
        <v>12250</v>
      </c>
    </row>
    <row r="332" spans="1:13" s="114" customFormat="1">
      <c r="A332" s="107">
        <v>3600</v>
      </c>
      <c r="B332" s="107">
        <v>3620</v>
      </c>
      <c r="C332" s="107">
        <v>154440</v>
      </c>
      <c r="D332" s="107">
        <v>129440</v>
      </c>
      <c r="E332" s="107">
        <v>80780</v>
      </c>
      <c r="F332" s="107">
        <v>67660</v>
      </c>
      <c r="G332" s="107">
        <v>54530</v>
      </c>
      <c r="H332" s="107">
        <v>41410</v>
      </c>
      <c r="I332" s="107">
        <v>30260</v>
      </c>
      <c r="J332" s="107">
        <v>25010</v>
      </c>
      <c r="K332" s="107">
        <v>19760</v>
      </c>
      <c r="L332" s="107">
        <v>16020</v>
      </c>
      <c r="M332" s="107">
        <v>12650</v>
      </c>
    </row>
    <row r="333" spans="1:13" s="114" customFormat="1">
      <c r="A333" s="107">
        <v>3620</v>
      </c>
      <c r="B333" s="107">
        <v>3640</v>
      </c>
      <c r="C333" s="107">
        <v>156890</v>
      </c>
      <c r="D333" s="107">
        <v>131890</v>
      </c>
      <c r="E333" s="107">
        <v>82350</v>
      </c>
      <c r="F333" s="107">
        <v>69220</v>
      </c>
      <c r="G333" s="107">
        <v>56100</v>
      </c>
      <c r="H333" s="107">
        <v>42970</v>
      </c>
      <c r="I333" s="107">
        <v>30890</v>
      </c>
      <c r="J333" s="107">
        <v>25640</v>
      </c>
      <c r="K333" s="107">
        <v>20390</v>
      </c>
      <c r="L333" s="107">
        <v>16420</v>
      </c>
      <c r="M333" s="107">
        <v>13050</v>
      </c>
    </row>
    <row r="334" spans="1:13" s="114" customFormat="1">
      <c r="A334" s="107">
        <v>3640</v>
      </c>
      <c r="B334" s="107">
        <v>3660</v>
      </c>
      <c r="C334" s="107">
        <v>159330</v>
      </c>
      <c r="D334" s="107">
        <v>134330</v>
      </c>
      <c r="E334" s="107">
        <v>83910</v>
      </c>
      <c r="F334" s="107">
        <v>70790</v>
      </c>
      <c r="G334" s="107">
        <v>57660</v>
      </c>
      <c r="H334" s="107">
        <v>44540</v>
      </c>
      <c r="I334" s="107">
        <v>31510</v>
      </c>
      <c r="J334" s="107">
        <v>26260</v>
      </c>
      <c r="K334" s="107">
        <v>21010</v>
      </c>
      <c r="L334" s="107">
        <v>16830</v>
      </c>
      <c r="M334" s="107">
        <v>13450</v>
      </c>
    </row>
    <row r="335" spans="1:13" s="114" customFormat="1">
      <c r="A335" s="107">
        <v>3660</v>
      </c>
      <c r="B335" s="107">
        <v>3680</v>
      </c>
      <c r="C335" s="107">
        <v>161780</v>
      </c>
      <c r="D335" s="107">
        <v>136780</v>
      </c>
      <c r="E335" s="107">
        <v>85480</v>
      </c>
      <c r="F335" s="107">
        <v>72350</v>
      </c>
      <c r="G335" s="107">
        <v>59230</v>
      </c>
      <c r="H335" s="107">
        <v>46100</v>
      </c>
      <c r="I335" s="107">
        <v>32980</v>
      </c>
      <c r="J335" s="107">
        <v>26890</v>
      </c>
      <c r="K335" s="107">
        <v>21640</v>
      </c>
      <c r="L335" s="107">
        <v>17230</v>
      </c>
      <c r="M335" s="107">
        <v>13850</v>
      </c>
    </row>
    <row r="336" spans="1:13" s="114" customFormat="1">
      <c r="A336" s="107">
        <v>3680</v>
      </c>
      <c r="B336" s="107">
        <v>3700</v>
      </c>
      <c r="C336" s="107">
        <v>164220</v>
      </c>
      <c r="D336" s="107">
        <v>139220</v>
      </c>
      <c r="E336" s="107">
        <v>87040</v>
      </c>
      <c r="F336" s="107">
        <v>73920</v>
      </c>
      <c r="G336" s="107">
        <v>60790</v>
      </c>
      <c r="H336" s="107">
        <v>47670</v>
      </c>
      <c r="I336" s="107">
        <v>34540</v>
      </c>
      <c r="J336" s="107">
        <v>27510</v>
      </c>
      <c r="K336" s="107">
        <v>22260</v>
      </c>
      <c r="L336" s="107">
        <v>17630</v>
      </c>
      <c r="M336" s="107">
        <v>14260</v>
      </c>
    </row>
    <row r="337" spans="1:13" s="114" customFormat="1">
      <c r="A337" s="107">
        <v>3700</v>
      </c>
      <c r="B337" s="107">
        <v>3720</v>
      </c>
      <c r="C337" s="107">
        <v>166670</v>
      </c>
      <c r="D337" s="107">
        <v>141670</v>
      </c>
      <c r="E337" s="107">
        <v>88610</v>
      </c>
      <c r="F337" s="107">
        <v>75480</v>
      </c>
      <c r="G337" s="107">
        <v>62360</v>
      </c>
      <c r="H337" s="107">
        <v>49230</v>
      </c>
      <c r="I337" s="107">
        <v>36110</v>
      </c>
      <c r="J337" s="107">
        <v>28140</v>
      </c>
      <c r="K337" s="107">
        <v>22890</v>
      </c>
      <c r="L337" s="107">
        <v>18030</v>
      </c>
      <c r="M337" s="107">
        <v>14660</v>
      </c>
    </row>
    <row r="338" spans="1:13" s="114" customFormat="1">
      <c r="A338" s="107">
        <v>3720</v>
      </c>
      <c r="B338" s="107">
        <v>3740</v>
      </c>
      <c r="C338" s="107">
        <v>169110</v>
      </c>
      <c r="D338" s="107">
        <v>144110</v>
      </c>
      <c r="E338" s="107">
        <v>90170</v>
      </c>
      <c r="F338" s="107">
        <v>77050</v>
      </c>
      <c r="G338" s="107">
        <v>63920</v>
      </c>
      <c r="H338" s="107">
        <v>50800</v>
      </c>
      <c r="I338" s="107">
        <v>37670</v>
      </c>
      <c r="J338" s="107">
        <v>28770</v>
      </c>
      <c r="K338" s="107">
        <v>23520</v>
      </c>
      <c r="L338" s="107">
        <v>18440</v>
      </c>
      <c r="M338" s="107">
        <v>15060</v>
      </c>
    </row>
    <row r="339" spans="1:13" s="114" customFormat="1">
      <c r="A339" s="107">
        <v>3740</v>
      </c>
      <c r="B339" s="107">
        <v>3760</v>
      </c>
      <c r="C339" s="107">
        <v>171560</v>
      </c>
      <c r="D339" s="107">
        <v>146560</v>
      </c>
      <c r="E339" s="107">
        <v>91730</v>
      </c>
      <c r="F339" s="107">
        <v>78610</v>
      </c>
      <c r="G339" s="107">
        <v>65480</v>
      </c>
      <c r="H339" s="107">
        <v>52360</v>
      </c>
      <c r="I339" s="107">
        <v>39230</v>
      </c>
      <c r="J339" s="107">
        <v>29390</v>
      </c>
      <c r="K339" s="107">
        <v>24140</v>
      </c>
      <c r="L339" s="107">
        <v>18890</v>
      </c>
      <c r="M339" s="107">
        <v>15460</v>
      </c>
    </row>
    <row r="340" spans="1:13" s="114" customFormat="1">
      <c r="A340" s="107">
        <v>3760</v>
      </c>
      <c r="B340" s="107">
        <v>3780</v>
      </c>
      <c r="C340" s="107">
        <v>178920</v>
      </c>
      <c r="D340" s="107">
        <v>151090</v>
      </c>
      <c r="E340" s="107">
        <v>95250</v>
      </c>
      <c r="F340" s="107">
        <v>81630</v>
      </c>
      <c r="G340" s="107">
        <v>68510</v>
      </c>
      <c r="H340" s="107">
        <v>55380</v>
      </c>
      <c r="I340" s="107">
        <v>42260</v>
      </c>
      <c r="J340" s="107">
        <v>30600</v>
      </c>
      <c r="K340" s="107">
        <v>25350</v>
      </c>
      <c r="L340" s="107">
        <v>20100</v>
      </c>
      <c r="M340" s="107">
        <v>16240</v>
      </c>
    </row>
    <row r="341" spans="1:13" s="114" customFormat="1">
      <c r="A341" s="107">
        <v>3780</v>
      </c>
      <c r="B341" s="107">
        <v>3800</v>
      </c>
      <c r="C341" s="107">
        <v>181590</v>
      </c>
      <c r="D341" s="107">
        <v>153740</v>
      </c>
      <c r="E341" s="107">
        <v>97700</v>
      </c>
      <c r="F341" s="107">
        <v>83350</v>
      </c>
      <c r="G341" s="107">
        <v>70220</v>
      </c>
      <c r="H341" s="107">
        <v>57100</v>
      </c>
      <c r="I341" s="107">
        <v>43970</v>
      </c>
      <c r="J341" s="107">
        <v>31290</v>
      </c>
      <c r="K341" s="107">
        <v>26040</v>
      </c>
      <c r="L341" s="107">
        <v>20790</v>
      </c>
      <c r="M341" s="107">
        <v>16680</v>
      </c>
    </row>
    <row r="342" spans="1:13" s="114" customFormat="1">
      <c r="A342" s="107">
        <v>3800</v>
      </c>
      <c r="B342" s="107">
        <v>3820</v>
      </c>
      <c r="C342" s="107">
        <v>184260</v>
      </c>
      <c r="D342" s="107">
        <v>156400</v>
      </c>
      <c r="E342" s="107">
        <v>100140</v>
      </c>
      <c r="F342" s="107">
        <v>85060</v>
      </c>
      <c r="G342" s="107">
        <v>71930</v>
      </c>
      <c r="H342" s="107">
        <v>58810</v>
      </c>
      <c r="I342" s="107">
        <v>45680</v>
      </c>
      <c r="J342" s="107">
        <v>32560</v>
      </c>
      <c r="K342" s="107">
        <v>26720</v>
      </c>
      <c r="L342" s="107">
        <v>21470</v>
      </c>
      <c r="M342" s="107">
        <v>17120</v>
      </c>
    </row>
    <row r="343" spans="1:13" s="114" customFormat="1">
      <c r="A343" s="107">
        <v>3820</v>
      </c>
      <c r="B343" s="107">
        <v>3840</v>
      </c>
      <c r="C343" s="107">
        <v>186930</v>
      </c>
      <c r="D343" s="107">
        <v>159050</v>
      </c>
      <c r="E343" s="107">
        <v>102590</v>
      </c>
      <c r="F343" s="107">
        <v>86770</v>
      </c>
      <c r="G343" s="107">
        <v>73640</v>
      </c>
      <c r="H343" s="107">
        <v>60520</v>
      </c>
      <c r="I343" s="107">
        <v>47390</v>
      </c>
      <c r="J343" s="107">
        <v>34270</v>
      </c>
      <c r="K343" s="107">
        <v>27400</v>
      </c>
      <c r="L343" s="107">
        <v>22150</v>
      </c>
      <c r="M343" s="107">
        <v>17560</v>
      </c>
    </row>
    <row r="344" spans="1:13" s="114" customFormat="1">
      <c r="A344" s="107">
        <v>3840</v>
      </c>
      <c r="B344" s="107">
        <v>3860</v>
      </c>
      <c r="C344" s="107">
        <v>189600</v>
      </c>
      <c r="D344" s="107">
        <v>161710</v>
      </c>
      <c r="E344" s="107">
        <v>105030</v>
      </c>
      <c r="F344" s="107">
        <v>88480</v>
      </c>
      <c r="G344" s="107">
        <v>75350</v>
      </c>
      <c r="H344" s="107">
        <v>62230</v>
      </c>
      <c r="I344" s="107">
        <v>49100</v>
      </c>
      <c r="J344" s="107">
        <v>35980</v>
      </c>
      <c r="K344" s="107">
        <v>28090</v>
      </c>
      <c r="L344" s="107">
        <v>22840</v>
      </c>
      <c r="M344" s="107">
        <v>18000</v>
      </c>
    </row>
    <row r="345" spans="1:13" s="114" customFormat="1">
      <c r="A345" s="107">
        <v>3860</v>
      </c>
      <c r="B345" s="107">
        <v>3880</v>
      </c>
      <c r="C345" s="107">
        <v>192270</v>
      </c>
      <c r="D345" s="107">
        <v>164360</v>
      </c>
      <c r="E345" s="107">
        <v>107480</v>
      </c>
      <c r="F345" s="107">
        <v>90190</v>
      </c>
      <c r="G345" s="107">
        <v>77070</v>
      </c>
      <c r="H345" s="107">
        <v>63940</v>
      </c>
      <c r="I345" s="107">
        <v>50820</v>
      </c>
      <c r="J345" s="107">
        <v>37690</v>
      </c>
      <c r="K345" s="107">
        <v>28770</v>
      </c>
      <c r="L345" s="107">
        <v>23520</v>
      </c>
      <c r="M345" s="107">
        <v>18440</v>
      </c>
    </row>
    <row r="346" spans="1:13" s="114" customFormat="1">
      <c r="A346" s="107">
        <v>3880</v>
      </c>
      <c r="B346" s="107">
        <v>3900</v>
      </c>
      <c r="C346" s="107">
        <v>194940</v>
      </c>
      <c r="D346" s="107">
        <v>167020</v>
      </c>
      <c r="E346" s="107">
        <v>109920</v>
      </c>
      <c r="F346" s="107">
        <v>91900</v>
      </c>
      <c r="G346" s="107">
        <v>78780</v>
      </c>
      <c r="H346" s="107">
        <v>65650</v>
      </c>
      <c r="I346" s="107">
        <v>52530</v>
      </c>
      <c r="J346" s="107">
        <v>39400</v>
      </c>
      <c r="K346" s="107">
        <v>29460</v>
      </c>
      <c r="L346" s="107">
        <v>24210</v>
      </c>
      <c r="M346" s="107">
        <v>18960</v>
      </c>
    </row>
    <row r="347" spans="1:13" s="114" customFormat="1">
      <c r="A347" s="107">
        <v>3900</v>
      </c>
      <c r="B347" s="107">
        <v>3920</v>
      </c>
      <c r="C347" s="107">
        <v>197610</v>
      </c>
      <c r="D347" s="107">
        <v>169670</v>
      </c>
      <c r="E347" s="107">
        <v>112370</v>
      </c>
      <c r="F347" s="107">
        <v>93620</v>
      </c>
      <c r="G347" s="107">
        <v>80490</v>
      </c>
      <c r="H347" s="107">
        <v>67360</v>
      </c>
      <c r="I347" s="107">
        <v>54240</v>
      </c>
      <c r="J347" s="107">
        <v>41110</v>
      </c>
      <c r="K347" s="107">
        <v>30140</v>
      </c>
      <c r="L347" s="107">
        <v>24890</v>
      </c>
      <c r="M347" s="107">
        <v>19640</v>
      </c>
    </row>
    <row r="348" spans="1:13" s="114" customFormat="1">
      <c r="A348" s="107">
        <v>3920</v>
      </c>
      <c r="B348" s="107">
        <v>3940</v>
      </c>
      <c r="C348" s="107">
        <v>200280</v>
      </c>
      <c r="D348" s="107">
        <v>172330</v>
      </c>
      <c r="E348" s="107">
        <v>114810</v>
      </c>
      <c r="F348" s="107">
        <v>96060</v>
      </c>
      <c r="G348" s="107">
        <v>82200</v>
      </c>
      <c r="H348" s="107">
        <v>69080</v>
      </c>
      <c r="I348" s="107">
        <v>55950</v>
      </c>
      <c r="J348" s="107">
        <v>42830</v>
      </c>
      <c r="K348" s="107">
        <v>30830</v>
      </c>
      <c r="L348" s="107">
        <v>25580</v>
      </c>
      <c r="M348" s="107">
        <v>20330</v>
      </c>
    </row>
    <row r="349" spans="1:13" s="114" customFormat="1">
      <c r="A349" s="107">
        <v>3940</v>
      </c>
      <c r="B349" s="107">
        <v>3960</v>
      </c>
      <c r="C349" s="107">
        <v>202950</v>
      </c>
      <c r="D349" s="107">
        <v>174980</v>
      </c>
      <c r="E349" s="107">
        <v>117260</v>
      </c>
      <c r="F349" s="107">
        <v>98510</v>
      </c>
      <c r="G349" s="107">
        <v>83910</v>
      </c>
      <c r="H349" s="107">
        <v>70790</v>
      </c>
      <c r="I349" s="107">
        <v>57660</v>
      </c>
      <c r="J349" s="107">
        <v>44540</v>
      </c>
      <c r="K349" s="107">
        <v>31510</v>
      </c>
      <c r="L349" s="107">
        <v>26260</v>
      </c>
      <c r="M349" s="107">
        <v>21010</v>
      </c>
    </row>
    <row r="350" spans="1:13" s="114" customFormat="1">
      <c r="A350" s="107">
        <v>3960</v>
      </c>
      <c r="B350" s="107">
        <v>3980</v>
      </c>
      <c r="C350" s="107">
        <v>205620</v>
      </c>
      <c r="D350" s="107">
        <v>177640</v>
      </c>
      <c r="E350" s="107">
        <v>119700</v>
      </c>
      <c r="F350" s="107">
        <v>100950</v>
      </c>
      <c r="G350" s="107">
        <v>85620</v>
      </c>
      <c r="H350" s="107">
        <v>72500</v>
      </c>
      <c r="I350" s="107">
        <v>59370</v>
      </c>
      <c r="J350" s="107">
        <v>46250</v>
      </c>
      <c r="K350" s="107">
        <v>33120</v>
      </c>
      <c r="L350" s="107">
        <v>26950</v>
      </c>
      <c r="M350" s="107">
        <v>21700</v>
      </c>
    </row>
    <row r="351" spans="1:13" s="114" customFormat="1">
      <c r="A351" s="107">
        <v>3980</v>
      </c>
      <c r="B351" s="107">
        <v>4000</v>
      </c>
      <c r="C351" s="107">
        <v>208290</v>
      </c>
      <c r="D351" s="107">
        <v>180290</v>
      </c>
      <c r="E351" s="107">
        <v>122150</v>
      </c>
      <c r="F351" s="107">
        <v>103400</v>
      </c>
      <c r="G351" s="107">
        <v>87340</v>
      </c>
      <c r="H351" s="107">
        <v>74210</v>
      </c>
      <c r="I351" s="107">
        <v>61090</v>
      </c>
      <c r="J351" s="107">
        <v>47960</v>
      </c>
      <c r="K351" s="107">
        <v>34840</v>
      </c>
      <c r="L351" s="107">
        <v>27630</v>
      </c>
      <c r="M351" s="107">
        <v>22380</v>
      </c>
    </row>
    <row r="352" spans="1:13" s="114" customFormat="1">
      <c r="A352" s="107">
        <v>4000</v>
      </c>
      <c r="B352" s="107">
        <v>4020</v>
      </c>
      <c r="C352" s="107">
        <v>210960</v>
      </c>
      <c r="D352" s="107">
        <v>182950</v>
      </c>
      <c r="E352" s="107">
        <v>124590</v>
      </c>
      <c r="F352" s="107">
        <v>105840</v>
      </c>
      <c r="G352" s="107">
        <v>89050</v>
      </c>
      <c r="H352" s="107">
        <v>75920</v>
      </c>
      <c r="I352" s="107">
        <v>62800</v>
      </c>
      <c r="J352" s="107">
        <v>49670</v>
      </c>
      <c r="K352" s="107">
        <v>36550</v>
      </c>
      <c r="L352" s="107">
        <v>28320</v>
      </c>
      <c r="M352" s="107">
        <v>23070</v>
      </c>
    </row>
    <row r="353" spans="1:13" s="114" customFormat="1">
      <c r="A353" s="107">
        <v>4020</v>
      </c>
      <c r="B353" s="107">
        <v>4040</v>
      </c>
      <c r="C353" s="107">
        <v>213630</v>
      </c>
      <c r="D353" s="107">
        <v>185600</v>
      </c>
      <c r="E353" s="107">
        <v>127040</v>
      </c>
      <c r="F353" s="107">
        <v>108290</v>
      </c>
      <c r="G353" s="107">
        <v>90760</v>
      </c>
      <c r="H353" s="107">
        <v>77630</v>
      </c>
      <c r="I353" s="107">
        <v>64510</v>
      </c>
      <c r="J353" s="107">
        <v>51380</v>
      </c>
      <c r="K353" s="107">
        <v>38260</v>
      </c>
      <c r="L353" s="107">
        <v>29000</v>
      </c>
      <c r="M353" s="107">
        <v>23750</v>
      </c>
    </row>
    <row r="354" spans="1:13" s="114" customFormat="1">
      <c r="A354" s="107">
        <v>4040</v>
      </c>
      <c r="B354" s="107">
        <v>4060</v>
      </c>
      <c r="C354" s="107">
        <v>216300</v>
      </c>
      <c r="D354" s="107">
        <v>188260</v>
      </c>
      <c r="E354" s="107">
        <v>129480</v>
      </c>
      <c r="F354" s="107">
        <v>110730</v>
      </c>
      <c r="G354" s="107">
        <v>92470</v>
      </c>
      <c r="H354" s="107">
        <v>79340</v>
      </c>
      <c r="I354" s="107">
        <v>66220</v>
      </c>
      <c r="J354" s="107">
        <v>53090</v>
      </c>
      <c r="K354" s="107">
        <v>39970</v>
      </c>
      <c r="L354" s="107">
        <v>29680</v>
      </c>
      <c r="M354" s="107">
        <v>24430</v>
      </c>
    </row>
    <row r="355" spans="1:13" s="114" customFormat="1">
      <c r="A355" s="107">
        <v>4060</v>
      </c>
      <c r="B355" s="107">
        <v>4080</v>
      </c>
      <c r="C355" s="107">
        <v>218970</v>
      </c>
      <c r="D355" s="107">
        <v>190910</v>
      </c>
      <c r="E355" s="107">
        <v>131930</v>
      </c>
      <c r="F355" s="107">
        <v>113180</v>
      </c>
      <c r="G355" s="107">
        <v>94430</v>
      </c>
      <c r="H355" s="107">
        <v>81060</v>
      </c>
      <c r="I355" s="107">
        <v>67930</v>
      </c>
      <c r="J355" s="107">
        <v>54810</v>
      </c>
      <c r="K355" s="107">
        <v>41680</v>
      </c>
      <c r="L355" s="107">
        <v>30370</v>
      </c>
      <c r="M355" s="107">
        <v>25120</v>
      </c>
    </row>
    <row r="356" spans="1:13" s="114" customFormat="1">
      <c r="A356" s="107">
        <v>4080</v>
      </c>
      <c r="B356" s="107">
        <v>4100</v>
      </c>
      <c r="C356" s="107">
        <v>221640</v>
      </c>
      <c r="D356" s="107">
        <v>193570</v>
      </c>
      <c r="E356" s="107">
        <v>134370</v>
      </c>
      <c r="F356" s="107">
        <v>115620</v>
      </c>
      <c r="G356" s="107">
        <v>96870</v>
      </c>
      <c r="H356" s="107">
        <v>82770</v>
      </c>
      <c r="I356" s="107">
        <v>69640</v>
      </c>
      <c r="J356" s="107">
        <v>56520</v>
      </c>
      <c r="K356" s="107">
        <v>43390</v>
      </c>
      <c r="L356" s="107">
        <v>31050</v>
      </c>
      <c r="M356" s="107">
        <v>25800</v>
      </c>
    </row>
    <row r="357" spans="1:13" s="114" customFormat="1">
      <c r="A357" s="107">
        <v>4100</v>
      </c>
      <c r="B357" s="107">
        <v>4120</v>
      </c>
      <c r="C357" s="107">
        <v>224310</v>
      </c>
      <c r="D357" s="107">
        <v>196220</v>
      </c>
      <c r="E357" s="107">
        <v>136820</v>
      </c>
      <c r="F357" s="107">
        <v>118070</v>
      </c>
      <c r="G357" s="107">
        <v>99320</v>
      </c>
      <c r="H357" s="107">
        <v>84480</v>
      </c>
      <c r="I357" s="107">
        <v>71350</v>
      </c>
      <c r="J357" s="107">
        <v>58230</v>
      </c>
      <c r="K357" s="107">
        <v>45100</v>
      </c>
      <c r="L357" s="107">
        <v>31980</v>
      </c>
      <c r="M357" s="107">
        <v>26490</v>
      </c>
    </row>
    <row r="358" spans="1:13" s="114" customFormat="1">
      <c r="A358" s="107">
        <v>4120</v>
      </c>
      <c r="B358" s="107">
        <v>4140</v>
      </c>
      <c r="C358" s="107">
        <v>226980</v>
      </c>
      <c r="D358" s="107">
        <v>198880</v>
      </c>
      <c r="E358" s="107">
        <v>139260</v>
      </c>
      <c r="F358" s="107">
        <v>120510</v>
      </c>
      <c r="G358" s="107">
        <v>101760</v>
      </c>
      <c r="H358" s="107">
        <v>86190</v>
      </c>
      <c r="I358" s="107">
        <v>73070</v>
      </c>
      <c r="J358" s="107">
        <v>59940</v>
      </c>
      <c r="K358" s="107">
        <v>46820</v>
      </c>
      <c r="L358" s="107">
        <v>33690</v>
      </c>
      <c r="M358" s="107">
        <v>27170</v>
      </c>
    </row>
    <row r="359" spans="1:13" s="114" customFormat="1">
      <c r="A359" s="107">
        <v>4140</v>
      </c>
      <c r="B359" s="107">
        <v>4160</v>
      </c>
      <c r="C359" s="107">
        <v>229650</v>
      </c>
      <c r="D359" s="107">
        <v>201530</v>
      </c>
      <c r="E359" s="107">
        <v>141710</v>
      </c>
      <c r="F359" s="107">
        <v>122960</v>
      </c>
      <c r="G359" s="107">
        <v>104210</v>
      </c>
      <c r="H359" s="107">
        <v>87900</v>
      </c>
      <c r="I359" s="107">
        <v>74780</v>
      </c>
      <c r="J359" s="107">
        <v>61650</v>
      </c>
      <c r="K359" s="107">
        <v>48530</v>
      </c>
      <c r="L359" s="107">
        <v>35400</v>
      </c>
      <c r="M359" s="107">
        <v>27860</v>
      </c>
    </row>
    <row r="360" spans="1:13" s="114" customFormat="1">
      <c r="A360" s="107">
        <v>4160</v>
      </c>
      <c r="B360" s="107">
        <v>4180</v>
      </c>
      <c r="C360" s="107">
        <v>232320</v>
      </c>
      <c r="D360" s="107">
        <v>204190</v>
      </c>
      <c r="E360" s="107">
        <v>144150</v>
      </c>
      <c r="F360" s="107">
        <v>125400</v>
      </c>
      <c r="G360" s="107">
        <v>106650</v>
      </c>
      <c r="H360" s="107">
        <v>89610</v>
      </c>
      <c r="I360" s="107">
        <v>76490</v>
      </c>
      <c r="J360" s="107">
        <v>63360</v>
      </c>
      <c r="K360" s="107">
        <v>50240</v>
      </c>
      <c r="L360" s="107">
        <v>37110</v>
      </c>
      <c r="M360" s="107">
        <v>28540</v>
      </c>
    </row>
    <row r="361" spans="1:13" s="114" customFormat="1">
      <c r="A361" s="107">
        <v>4180</v>
      </c>
      <c r="B361" s="107">
        <v>4200</v>
      </c>
      <c r="C361" s="107">
        <v>234990</v>
      </c>
      <c r="D361" s="107">
        <v>206840</v>
      </c>
      <c r="E361" s="107">
        <v>146600</v>
      </c>
      <c r="F361" s="107">
        <v>127850</v>
      </c>
      <c r="G361" s="107">
        <v>109100</v>
      </c>
      <c r="H361" s="107">
        <v>91330</v>
      </c>
      <c r="I361" s="107">
        <v>78200</v>
      </c>
      <c r="J361" s="107">
        <v>65080</v>
      </c>
      <c r="K361" s="107">
        <v>51950</v>
      </c>
      <c r="L361" s="107">
        <v>38830</v>
      </c>
      <c r="M361" s="107">
        <v>29230</v>
      </c>
    </row>
    <row r="362" spans="1:13" s="114" customFormat="1">
      <c r="A362" s="107">
        <v>4200</v>
      </c>
      <c r="B362" s="107">
        <v>4220</v>
      </c>
      <c r="C362" s="107">
        <v>237660</v>
      </c>
      <c r="D362" s="107">
        <v>209500</v>
      </c>
      <c r="E362" s="107">
        <v>149040</v>
      </c>
      <c r="F362" s="107">
        <v>130290</v>
      </c>
      <c r="G362" s="107">
        <v>111540</v>
      </c>
      <c r="H362" s="107">
        <v>93040</v>
      </c>
      <c r="I362" s="107">
        <v>79910</v>
      </c>
      <c r="J362" s="107">
        <v>66790</v>
      </c>
      <c r="K362" s="107">
        <v>53660</v>
      </c>
      <c r="L362" s="107">
        <v>40540</v>
      </c>
      <c r="M362" s="107">
        <v>29910</v>
      </c>
    </row>
    <row r="363" spans="1:13" s="114" customFormat="1">
      <c r="A363" s="107">
        <v>4220</v>
      </c>
      <c r="B363" s="107">
        <v>4240</v>
      </c>
      <c r="C363" s="107">
        <v>240330</v>
      </c>
      <c r="D363" s="107">
        <v>212150</v>
      </c>
      <c r="E363" s="107">
        <v>151490</v>
      </c>
      <c r="F363" s="107">
        <v>132740</v>
      </c>
      <c r="G363" s="107">
        <v>113990</v>
      </c>
      <c r="H363" s="107">
        <v>95240</v>
      </c>
      <c r="I363" s="107">
        <v>81620</v>
      </c>
      <c r="J363" s="107">
        <v>68500</v>
      </c>
      <c r="K363" s="107">
        <v>55370</v>
      </c>
      <c r="L363" s="107">
        <v>42250</v>
      </c>
      <c r="M363" s="107">
        <v>30600</v>
      </c>
    </row>
    <row r="364" spans="1:13" s="114" customFormat="1">
      <c r="A364" s="107">
        <v>4240</v>
      </c>
      <c r="B364" s="107">
        <v>4260</v>
      </c>
      <c r="C364" s="107">
        <v>243000</v>
      </c>
      <c r="D364" s="107">
        <v>214810</v>
      </c>
      <c r="E364" s="107">
        <v>153930</v>
      </c>
      <c r="F364" s="107">
        <v>135180</v>
      </c>
      <c r="G364" s="107">
        <v>116430</v>
      </c>
      <c r="H364" s="107">
        <v>97680</v>
      </c>
      <c r="I364" s="107">
        <v>83330</v>
      </c>
      <c r="J364" s="107">
        <v>70210</v>
      </c>
      <c r="K364" s="107">
        <v>57080</v>
      </c>
      <c r="L364" s="107">
        <v>43960</v>
      </c>
      <c r="M364" s="107">
        <v>31280</v>
      </c>
    </row>
    <row r="365" spans="1:13" s="114" customFormat="1">
      <c r="A365" s="107">
        <v>4260</v>
      </c>
      <c r="B365" s="107">
        <v>4280</v>
      </c>
      <c r="C365" s="107">
        <v>245670</v>
      </c>
      <c r="D365" s="107">
        <v>217460</v>
      </c>
      <c r="E365" s="107">
        <v>156380</v>
      </c>
      <c r="F365" s="107">
        <v>137630</v>
      </c>
      <c r="G365" s="107">
        <v>118880</v>
      </c>
      <c r="H365" s="107">
        <v>100130</v>
      </c>
      <c r="I365" s="107">
        <v>85050</v>
      </c>
      <c r="J365" s="107">
        <v>71920</v>
      </c>
      <c r="K365" s="107">
        <v>58800</v>
      </c>
      <c r="L365" s="107">
        <v>45670</v>
      </c>
      <c r="M365" s="107">
        <v>32550</v>
      </c>
    </row>
    <row r="366" spans="1:13" s="114" customFormat="1">
      <c r="A366" s="107">
        <v>4280</v>
      </c>
      <c r="B366" s="107">
        <v>4300</v>
      </c>
      <c r="C366" s="107">
        <v>248340</v>
      </c>
      <c r="D366" s="107">
        <v>220120</v>
      </c>
      <c r="E366" s="107">
        <v>158820</v>
      </c>
      <c r="F366" s="107">
        <v>140070</v>
      </c>
      <c r="G366" s="107">
        <v>121320</v>
      </c>
      <c r="H366" s="107">
        <v>102570</v>
      </c>
      <c r="I366" s="107">
        <v>86760</v>
      </c>
      <c r="J366" s="107">
        <v>73630</v>
      </c>
      <c r="K366" s="107">
        <v>60510</v>
      </c>
      <c r="L366" s="107">
        <v>47380</v>
      </c>
      <c r="M366" s="107">
        <v>34260</v>
      </c>
    </row>
    <row r="367" spans="1:13" s="114" customFormat="1">
      <c r="A367" s="107">
        <v>4300</v>
      </c>
      <c r="B367" s="107">
        <v>4320</v>
      </c>
      <c r="C367" s="107">
        <v>251010</v>
      </c>
      <c r="D367" s="107">
        <v>222770</v>
      </c>
      <c r="E367" s="107">
        <v>161270</v>
      </c>
      <c r="F367" s="107">
        <v>142520</v>
      </c>
      <c r="G367" s="107">
        <v>123770</v>
      </c>
      <c r="H367" s="107">
        <v>105020</v>
      </c>
      <c r="I367" s="107">
        <v>88470</v>
      </c>
      <c r="J367" s="107">
        <v>75340</v>
      </c>
      <c r="K367" s="107">
        <v>62220</v>
      </c>
      <c r="L367" s="107">
        <v>49090</v>
      </c>
      <c r="M367" s="107">
        <v>35970</v>
      </c>
    </row>
    <row r="368" spans="1:13" s="114" customFormat="1">
      <c r="A368" s="107">
        <v>4320</v>
      </c>
      <c r="B368" s="107">
        <v>4340</v>
      </c>
      <c r="C368" s="107">
        <v>253680</v>
      </c>
      <c r="D368" s="107">
        <v>225430</v>
      </c>
      <c r="E368" s="107">
        <v>163710</v>
      </c>
      <c r="F368" s="107">
        <v>144960</v>
      </c>
      <c r="G368" s="107">
        <v>126210</v>
      </c>
      <c r="H368" s="107">
        <v>107460</v>
      </c>
      <c r="I368" s="107">
        <v>90180</v>
      </c>
      <c r="J368" s="107">
        <v>77060</v>
      </c>
      <c r="K368" s="107">
        <v>63930</v>
      </c>
      <c r="L368" s="107">
        <v>50810</v>
      </c>
      <c r="M368" s="107">
        <v>37680</v>
      </c>
    </row>
    <row r="369" spans="1:13" s="114" customFormat="1">
      <c r="A369" s="107">
        <v>4340</v>
      </c>
      <c r="B369" s="107">
        <v>4360</v>
      </c>
      <c r="C369" s="107">
        <v>256350</v>
      </c>
      <c r="D369" s="107">
        <v>228080</v>
      </c>
      <c r="E369" s="107">
        <v>166160</v>
      </c>
      <c r="F369" s="107">
        <v>147410</v>
      </c>
      <c r="G369" s="107">
        <v>128660</v>
      </c>
      <c r="H369" s="107">
        <v>109910</v>
      </c>
      <c r="I369" s="107">
        <v>91890</v>
      </c>
      <c r="J369" s="107">
        <v>78770</v>
      </c>
      <c r="K369" s="107">
        <v>65640</v>
      </c>
      <c r="L369" s="107">
        <v>52520</v>
      </c>
      <c r="M369" s="107">
        <v>39390</v>
      </c>
    </row>
    <row r="370" spans="1:13" s="114" customFormat="1">
      <c r="A370" s="107">
        <v>4360</v>
      </c>
      <c r="B370" s="107">
        <v>4380</v>
      </c>
      <c r="C370" s="107">
        <v>259020</v>
      </c>
      <c r="D370" s="107">
        <v>230740</v>
      </c>
      <c r="E370" s="107">
        <v>168600</v>
      </c>
      <c r="F370" s="107">
        <v>149850</v>
      </c>
      <c r="G370" s="107">
        <v>131100</v>
      </c>
      <c r="H370" s="107">
        <v>112350</v>
      </c>
      <c r="I370" s="107">
        <v>93600</v>
      </c>
      <c r="J370" s="107">
        <v>80480</v>
      </c>
      <c r="K370" s="107">
        <v>67350</v>
      </c>
      <c r="L370" s="107">
        <v>54230</v>
      </c>
      <c r="M370" s="107">
        <v>41100</v>
      </c>
    </row>
    <row r="371" spans="1:13" s="114" customFormat="1">
      <c r="A371" s="107">
        <v>4380</v>
      </c>
      <c r="B371" s="107">
        <v>4400</v>
      </c>
      <c r="C371" s="107">
        <v>261690</v>
      </c>
      <c r="D371" s="107">
        <v>233390</v>
      </c>
      <c r="E371" s="107">
        <v>171050</v>
      </c>
      <c r="F371" s="107">
        <v>152300</v>
      </c>
      <c r="G371" s="107">
        <v>133550</v>
      </c>
      <c r="H371" s="107">
        <v>114800</v>
      </c>
      <c r="I371" s="107">
        <v>96050</v>
      </c>
      <c r="J371" s="107">
        <v>82190</v>
      </c>
      <c r="K371" s="107">
        <v>69070</v>
      </c>
      <c r="L371" s="107">
        <v>55940</v>
      </c>
      <c r="M371" s="107">
        <v>42820</v>
      </c>
    </row>
    <row r="372" spans="1:13" s="114" customFormat="1">
      <c r="A372" s="107">
        <v>4400</v>
      </c>
      <c r="B372" s="107">
        <v>4420</v>
      </c>
      <c r="C372" s="107">
        <v>264360</v>
      </c>
      <c r="D372" s="107">
        <v>236050</v>
      </c>
      <c r="E372" s="107">
        <v>173490</v>
      </c>
      <c r="F372" s="107">
        <v>154740</v>
      </c>
      <c r="G372" s="107">
        <v>135990</v>
      </c>
      <c r="H372" s="107">
        <v>117240</v>
      </c>
      <c r="I372" s="107">
        <v>98490</v>
      </c>
      <c r="J372" s="107">
        <v>83900</v>
      </c>
      <c r="K372" s="107">
        <v>70780</v>
      </c>
      <c r="L372" s="107">
        <v>57650</v>
      </c>
      <c r="M372" s="107">
        <v>44530</v>
      </c>
    </row>
    <row r="373" spans="1:13" s="114" customFormat="1">
      <c r="A373" s="107">
        <v>4420</v>
      </c>
      <c r="B373" s="107">
        <v>4440</v>
      </c>
      <c r="C373" s="107">
        <v>267030</v>
      </c>
      <c r="D373" s="107">
        <v>238700</v>
      </c>
      <c r="E373" s="107">
        <v>175940</v>
      </c>
      <c r="F373" s="107">
        <v>157190</v>
      </c>
      <c r="G373" s="107">
        <v>138440</v>
      </c>
      <c r="H373" s="107">
        <v>119690</v>
      </c>
      <c r="I373" s="107">
        <v>100940</v>
      </c>
      <c r="J373" s="107">
        <v>85610</v>
      </c>
      <c r="K373" s="107">
        <v>72490</v>
      </c>
      <c r="L373" s="107">
        <v>59360</v>
      </c>
      <c r="M373" s="107">
        <v>46240</v>
      </c>
    </row>
    <row r="374" spans="1:13" s="114" customFormat="1">
      <c r="A374" s="107">
        <v>4440</v>
      </c>
      <c r="B374" s="107">
        <v>4460</v>
      </c>
      <c r="C374" s="107">
        <v>269700</v>
      </c>
      <c r="D374" s="107">
        <v>241360</v>
      </c>
      <c r="E374" s="107">
        <v>178380</v>
      </c>
      <c r="F374" s="107">
        <v>159630</v>
      </c>
      <c r="G374" s="107">
        <v>140880</v>
      </c>
      <c r="H374" s="107">
        <v>122130</v>
      </c>
      <c r="I374" s="107">
        <v>103380</v>
      </c>
      <c r="J374" s="107">
        <v>87320</v>
      </c>
      <c r="K374" s="107">
        <v>74200</v>
      </c>
      <c r="L374" s="107">
        <v>61070</v>
      </c>
      <c r="M374" s="107">
        <v>47950</v>
      </c>
    </row>
    <row r="375" spans="1:13" s="114" customFormat="1">
      <c r="A375" s="107">
        <v>4460</v>
      </c>
      <c r="B375" s="107">
        <v>4480</v>
      </c>
      <c r="C375" s="107">
        <v>272370</v>
      </c>
      <c r="D375" s="107">
        <v>244010</v>
      </c>
      <c r="E375" s="107">
        <v>180830</v>
      </c>
      <c r="F375" s="107">
        <v>162080</v>
      </c>
      <c r="G375" s="107">
        <v>143330</v>
      </c>
      <c r="H375" s="107">
        <v>124580</v>
      </c>
      <c r="I375" s="107">
        <v>105830</v>
      </c>
      <c r="J375" s="107">
        <v>89040</v>
      </c>
      <c r="K375" s="107">
        <v>75910</v>
      </c>
      <c r="L375" s="107">
        <v>62790</v>
      </c>
      <c r="M375" s="107">
        <v>49660</v>
      </c>
    </row>
    <row r="376" spans="1:13" s="114" customFormat="1">
      <c r="A376" s="107">
        <v>4480</v>
      </c>
      <c r="B376" s="107">
        <v>4500</v>
      </c>
      <c r="C376" s="107">
        <v>275040</v>
      </c>
      <c r="D376" s="107">
        <v>246670</v>
      </c>
      <c r="E376" s="107">
        <v>183270</v>
      </c>
      <c r="F376" s="107">
        <v>164520</v>
      </c>
      <c r="G376" s="107">
        <v>145770</v>
      </c>
      <c r="H376" s="107">
        <v>127020</v>
      </c>
      <c r="I376" s="107">
        <v>108270</v>
      </c>
      <c r="J376" s="107">
        <v>90750</v>
      </c>
      <c r="K376" s="107">
        <v>77620</v>
      </c>
      <c r="L376" s="107">
        <v>64500</v>
      </c>
      <c r="M376" s="107">
        <v>51370</v>
      </c>
    </row>
    <row r="377" spans="1:13" s="114" customFormat="1">
      <c r="A377" s="107">
        <v>4500</v>
      </c>
      <c r="B377" s="107">
        <v>4520</v>
      </c>
      <c r="C377" s="107">
        <v>277840</v>
      </c>
      <c r="D377" s="107">
        <v>249460</v>
      </c>
      <c r="E377" s="107">
        <v>185850</v>
      </c>
      <c r="F377" s="107">
        <v>167100</v>
      </c>
      <c r="G377" s="107">
        <v>148350</v>
      </c>
      <c r="H377" s="107">
        <v>129600</v>
      </c>
      <c r="I377" s="107">
        <v>110850</v>
      </c>
      <c r="J377" s="107">
        <v>92550</v>
      </c>
      <c r="K377" s="107">
        <v>79430</v>
      </c>
      <c r="L377" s="107">
        <v>66300</v>
      </c>
      <c r="M377" s="107">
        <v>53180</v>
      </c>
    </row>
    <row r="378" spans="1:13" s="114" customFormat="1">
      <c r="A378" s="107">
        <v>4520</v>
      </c>
      <c r="B378" s="107">
        <v>4540</v>
      </c>
      <c r="C378" s="107">
        <v>280650</v>
      </c>
      <c r="D378" s="107">
        <v>252250</v>
      </c>
      <c r="E378" s="107">
        <v>188430</v>
      </c>
      <c r="F378" s="107">
        <v>169680</v>
      </c>
      <c r="G378" s="107">
        <v>150930</v>
      </c>
      <c r="H378" s="107">
        <v>132180</v>
      </c>
      <c r="I378" s="107">
        <v>113430</v>
      </c>
      <c r="J378" s="107">
        <v>94680</v>
      </c>
      <c r="K378" s="107">
        <v>81230</v>
      </c>
      <c r="L378" s="107">
        <v>68110</v>
      </c>
      <c r="M378" s="107">
        <v>54980</v>
      </c>
    </row>
    <row r="379" spans="1:13" s="114" customFormat="1">
      <c r="A379" s="107">
        <v>4540</v>
      </c>
      <c r="B379" s="107">
        <v>4560</v>
      </c>
      <c r="C379" s="107">
        <v>283450</v>
      </c>
      <c r="D379" s="107">
        <v>255040</v>
      </c>
      <c r="E379" s="107">
        <v>191010</v>
      </c>
      <c r="F379" s="107">
        <v>172260</v>
      </c>
      <c r="G379" s="107">
        <v>153510</v>
      </c>
      <c r="H379" s="107">
        <v>134760</v>
      </c>
      <c r="I379" s="107">
        <v>116010</v>
      </c>
      <c r="J379" s="107">
        <v>97260</v>
      </c>
      <c r="K379" s="107">
        <v>83040</v>
      </c>
      <c r="L379" s="107">
        <v>69920</v>
      </c>
      <c r="M379" s="107">
        <v>56790</v>
      </c>
    </row>
    <row r="380" spans="1:13" s="114" customFormat="1">
      <c r="A380" s="107">
        <v>4560</v>
      </c>
      <c r="B380" s="107">
        <v>4580</v>
      </c>
      <c r="C380" s="107">
        <v>286260</v>
      </c>
      <c r="D380" s="107">
        <v>257830</v>
      </c>
      <c r="E380" s="107">
        <v>193590</v>
      </c>
      <c r="F380" s="107">
        <v>174840</v>
      </c>
      <c r="G380" s="107">
        <v>156090</v>
      </c>
      <c r="H380" s="107">
        <v>137340</v>
      </c>
      <c r="I380" s="107">
        <v>118590</v>
      </c>
      <c r="J380" s="107">
        <v>99840</v>
      </c>
      <c r="K380" s="107">
        <v>84850</v>
      </c>
      <c r="L380" s="107">
        <v>71720</v>
      </c>
      <c r="M380" s="107">
        <v>58600</v>
      </c>
    </row>
    <row r="381" spans="1:13" s="114" customFormat="1">
      <c r="A381" s="107">
        <v>4580</v>
      </c>
      <c r="B381" s="107">
        <v>4600</v>
      </c>
      <c r="C381" s="107">
        <v>291560</v>
      </c>
      <c r="D381" s="107">
        <v>263120</v>
      </c>
      <c r="E381" s="107">
        <v>198670</v>
      </c>
      <c r="F381" s="107">
        <v>179920</v>
      </c>
      <c r="G381" s="107">
        <v>161170</v>
      </c>
      <c r="H381" s="107">
        <v>142420</v>
      </c>
      <c r="I381" s="107">
        <v>123670</v>
      </c>
      <c r="J381" s="107">
        <v>104920</v>
      </c>
      <c r="K381" s="107">
        <v>86650</v>
      </c>
      <c r="L381" s="107">
        <v>73530</v>
      </c>
      <c r="M381" s="107">
        <v>60400</v>
      </c>
    </row>
    <row r="382" spans="1:13" s="114" customFormat="1">
      <c r="A382" s="107">
        <v>4600</v>
      </c>
      <c r="B382" s="107">
        <v>4620</v>
      </c>
      <c r="C382" s="107">
        <v>294370</v>
      </c>
      <c r="D382" s="107">
        <v>265910</v>
      </c>
      <c r="E382" s="107">
        <v>201250</v>
      </c>
      <c r="F382" s="107">
        <v>182500</v>
      </c>
      <c r="G382" s="107">
        <v>163750</v>
      </c>
      <c r="H382" s="107">
        <v>145000</v>
      </c>
      <c r="I382" s="107">
        <v>126250</v>
      </c>
      <c r="J382" s="107">
        <v>107500</v>
      </c>
      <c r="K382" s="107">
        <v>88750</v>
      </c>
      <c r="L382" s="107">
        <v>75330</v>
      </c>
      <c r="M382" s="107">
        <v>62210</v>
      </c>
    </row>
    <row r="383" spans="1:13" s="114" customFormat="1">
      <c r="A383" s="107">
        <v>4620</v>
      </c>
      <c r="B383" s="107">
        <v>4640</v>
      </c>
      <c r="C383" s="107">
        <v>297170</v>
      </c>
      <c r="D383" s="107">
        <v>268700</v>
      </c>
      <c r="E383" s="107">
        <v>203830</v>
      </c>
      <c r="F383" s="107">
        <v>185080</v>
      </c>
      <c r="G383" s="107">
        <v>166330</v>
      </c>
      <c r="H383" s="107">
        <v>147580</v>
      </c>
      <c r="I383" s="107">
        <v>128830</v>
      </c>
      <c r="J383" s="107">
        <v>110080</v>
      </c>
      <c r="K383" s="107">
        <v>91330</v>
      </c>
      <c r="L383" s="107">
        <v>77140</v>
      </c>
      <c r="M383" s="107">
        <v>64010</v>
      </c>
    </row>
    <row r="384" spans="1:13" s="114" customFormat="1">
      <c r="A384" s="107">
        <v>4640</v>
      </c>
      <c r="B384" s="107">
        <v>4660</v>
      </c>
      <c r="C384" s="107">
        <v>299980</v>
      </c>
      <c r="D384" s="107">
        <v>271490</v>
      </c>
      <c r="E384" s="107">
        <v>206410</v>
      </c>
      <c r="F384" s="107">
        <v>187660</v>
      </c>
      <c r="G384" s="107">
        <v>168910</v>
      </c>
      <c r="H384" s="107">
        <v>150160</v>
      </c>
      <c r="I384" s="107">
        <v>131410</v>
      </c>
      <c r="J384" s="107">
        <v>112660</v>
      </c>
      <c r="K384" s="107">
        <v>93910</v>
      </c>
      <c r="L384" s="107">
        <v>78950</v>
      </c>
      <c r="M384" s="107">
        <v>65820</v>
      </c>
    </row>
    <row r="385" spans="1:13" s="114" customFormat="1">
      <c r="A385" s="107">
        <v>4660</v>
      </c>
      <c r="B385" s="107">
        <v>4680</v>
      </c>
      <c r="C385" s="107">
        <v>302780</v>
      </c>
      <c r="D385" s="107">
        <v>274280</v>
      </c>
      <c r="E385" s="107">
        <v>208990</v>
      </c>
      <c r="F385" s="107">
        <v>190240</v>
      </c>
      <c r="G385" s="107">
        <v>171490</v>
      </c>
      <c r="H385" s="107">
        <v>152740</v>
      </c>
      <c r="I385" s="107">
        <v>133990</v>
      </c>
      <c r="J385" s="107">
        <v>115240</v>
      </c>
      <c r="K385" s="107">
        <v>96490</v>
      </c>
      <c r="L385" s="107">
        <v>80750</v>
      </c>
      <c r="M385" s="107">
        <v>67630</v>
      </c>
    </row>
    <row r="386" spans="1:13" s="114" customFormat="1">
      <c r="A386" s="107">
        <v>4680</v>
      </c>
      <c r="B386" s="107">
        <v>4700</v>
      </c>
      <c r="C386" s="107">
        <v>305590</v>
      </c>
      <c r="D386" s="107">
        <v>277070</v>
      </c>
      <c r="E386" s="107">
        <v>211570</v>
      </c>
      <c r="F386" s="107">
        <v>192820</v>
      </c>
      <c r="G386" s="107">
        <v>174070</v>
      </c>
      <c r="H386" s="107">
        <v>155320</v>
      </c>
      <c r="I386" s="107">
        <v>136570</v>
      </c>
      <c r="J386" s="107">
        <v>117820</v>
      </c>
      <c r="K386" s="107">
        <v>99070</v>
      </c>
      <c r="L386" s="107">
        <v>82560</v>
      </c>
      <c r="M386" s="107">
        <v>69430</v>
      </c>
    </row>
    <row r="387" spans="1:13" s="114" customFormat="1">
      <c r="A387" s="107">
        <v>4700</v>
      </c>
      <c r="B387" s="107">
        <v>4720</v>
      </c>
      <c r="C387" s="107">
        <v>308390</v>
      </c>
      <c r="D387" s="107">
        <v>279860</v>
      </c>
      <c r="E387" s="107">
        <v>214150</v>
      </c>
      <c r="F387" s="107">
        <v>195400</v>
      </c>
      <c r="G387" s="107">
        <v>176650</v>
      </c>
      <c r="H387" s="107">
        <v>157900</v>
      </c>
      <c r="I387" s="107">
        <v>139150</v>
      </c>
      <c r="J387" s="107">
        <v>120400</v>
      </c>
      <c r="K387" s="107">
        <v>101650</v>
      </c>
      <c r="L387" s="107">
        <v>84360</v>
      </c>
      <c r="M387" s="107">
        <v>71240</v>
      </c>
    </row>
    <row r="388" spans="1:13" s="114" customFormat="1">
      <c r="A388" s="107">
        <v>4720</v>
      </c>
      <c r="B388" s="107">
        <v>4740</v>
      </c>
      <c r="C388" s="107">
        <v>311200</v>
      </c>
      <c r="D388" s="107">
        <v>282650</v>
      </c>
      <c r="E388" s="107">
        <v>216730</v>
      </c>
      <c r="F388" s="107">
        <v>197980</v>
      </c>
      <c r="G388" s="107">
        <v>179230</v>
      </c>
      <c r="H388" s="107">
        <v>160480</v>
      </c>
      <c r="I388" s="107">
        <v>141730</v>
      </c>
      <c r="J388" s="107">
        <v>122980</v>
      </c>
      <c r="K388" s="107">
        <v>104230</v>
      </c>
      <c r="L388" s="107">
        <v>86170</v>
      </c>
      <c r="M388" s="107">
        <v>73040</v>
      </c>
    </row>
    <row r="389" spans="1:13" s="114" customFormat="1">
      <c r="A389" s="107">
        <v>4740</v>
      </c>
      <c r="B389" s="107">
        <v>4760</v>
      </c>
      <c r="C389" s="107">
        <v>314000</v>
      </c>
      <c r="D389" s="107">
        <v>285440</v>
      </c>
      <c r="E389" s="107">
        <v>219310</v>
      </c>
      <c r="F389" s="107">
        <v>200560</v>
      </c>
      <c r="G389" s="107">
        <v>181810</v>
      </c>
      <c r="H389" s="107">
        <v>163060</v>
      </c>
      <c r="I389" s="107">
        <v>144310</v>
      </c>
      <c r="J389" s="107">
        <v>125560</v>
      </c>
      <c r="K389" s="107">
        <v>106810</v>
      </c>
      <c r="L389" s="107">
        <v>88060</v>
      </c>
      <c r="M389" s="107">
        <v>74850</v>
      </c>
    </row>
    <row r="390" spans="1:13" s="114" customFormat="1">
      <c r="A390" s="107">
        <v>4760</v>
      </c>
      <c r="B390" s="107">
        <v>4780</v>
      </c>
      <c r="C390" s="107">
        <v>316810</v>
      </c>
      <c r="D390" s="107">
        <v>288230</v>
      </c>
      <c r="E390" s="107">
        <v>221890</v>
      </c>
      <c r="F390" s="107">
        <v>203140</v>
      </c>
      <c r="G390" s="107">
        <v>184390</v>
      </c>
      <c r="H390" s="107">
        <v>165640</v>
      </c>
      <c r="I390" s="107">
        <v>146890</v>
      </c>
      <c r="J390" s="107">
        <v>128140</v>
      </c>
      <c r="K390" s="107">
        <v>109390</v>
      </c>
      <c r="L390" s="107">
        <v>90640</v>
      </c>
      <c r="M390" s="107">
        <v>76660</v>
      </c>
    </row>
    <row r="391" spans="1:13" s="114" customFormat="1">
      <c r="A391" s="107">
        <v>4780</v>
      </c>
      <c r="B391" s="107">
        <v>4800</v>
      </c>
      <c r="C391" s="107">
        <v>319610</v>
      </c>
      <c r="D391" s="107">
        <v>291020</v>
      </c>
      <c r="E391" s="107">
        <v>224470</v>
      </c>
      <c r="F391" s="107">
        <v>205720</v>
      </c>
      <c r="G391" s="107">
        <v>186970</v>
      </c>
      <c r="H391" s="107">
        <v>168220</v>
      </c>
      <c r="I391" s="107">
        <v>149470</v>
      </c>
      <c r="J391" s="107">
        <v>130720</v>
      </c>
      <c r="K391" s="107">
        <v>111970</v>
      </c>
      <c r="L391" s="107">
        <v>93220</v>
      </c>
      <c r="M391" s="107">
        <v>78460</v>
      </c>
    </row>
    <row r="392" spans="1:13" s="114" customFormat="1">
      <c r="A392" s="107">
        <v>4800</v>
      </c>
      <c r="B392" s="107">
        <v>4820</v>
      </c>
      <c r="C392" s="107">
        <v>322420</v>
      </c>
      <c r="D392" s="107">
        <v>293810</v>
      </c>
      <c r="E392" s="107">
        <v>227050</v>
      </c>
      <c r="F392" s="107">
        <v>208300</v>
      </c>
      <c r="G392" s="107">
        <v>189550</v>
      </c>
      <c r="H392" s="107">
        <v>170800</v>
      </c>
      <c r="I392" s="107">
        <v>152050</v>
      </c>
      <c r="J392" s="107">
        <v>133300</v>
      </c>
      <c r="K392" s="107">
        <v>114550</v>
      </c>
      <c r="L392" s="107">
        <v>95800</v>
      </c>
      <c r="M392" s="107">
        <v>80270</v>
      </c>
    </row>
    <row r="393" spans="1:13" s="114" customFormat="1">
      <c r="A393" s="107">
        <v>4820</v>
      </c>
      <c r="B393" s="107">
        <v>4840</v>
      </c>
      <c r="C393" s="107">
        <v>325220</v>
      </c>
      <c r="D393" s="107">
        <v>296600</v>
      </c>
      <c r="E393" s="107">
        <v>229630</v>
      </c>
      <c r="F393" s="107">
        <v>210880</v>
      </c>
      <c r="G393" s="107">
        <v>192130</v>
      </c>
      <c r="H393" s="107">
        <v>173380</v>
      </c>
      <c r="I393" s="107">
        <v>154630</v>
      </c>
      <c r="J393" s="107">
        <v>135880</v>
      </c>
      <c r="K393" s="107">
        <v>117130</v>
      </c>
      <c r="L393" s="107">
        <v>98380</v>
      </c>
      <c r="M393" s="107">
        <v>82070</v>
      </c>
    </row>
    <row r="394" spans="1:13" s="114" customFormat="1">
      <c r="A394" s="107">
        <v>4840</v>
      </c>
      <c r="B394" s="107">
        <v>4860</v>
      </c>
      <c r="C394" s="107">
        <v>328030</v>
      </c>
      <c r="D394" s="107">
        <v>299390</v>
      </c>
      <c r="E394" s="107">
        <v>232210</v>
      </c>
      <c r="F394" s="107">
        <v>213460</v>
      </c>
      <c r="G394" s="107">
        <v>194710</v>
      </c>
      <c r="H394" s="107">
        <v>175960</v>
      </c>
      <c r="I394" s="107">
        <v>157210</v>
      </c>
      <c r="J394" s="107">
        <v>138460</v>
      </c>
      <c r="K394" s="107">
        <v>119710</v>
      </c>
      <c r="L394" s="107">
        <v>100960</v>
      </c>
      <c r="M394" s="107">
        <v>83880</v>
      </c>
    </row>
    <row r="395" spans="1:13" s="114" customFormat="1">
      <c r="A395" s="107">
        <v>4860</v>
      </c>
      <c r="B395" s="107">
        <v>4880</v>
      </c>
      <c r="C395" s="107">
        <v>330830</v>
      </c>
      <c r="D395" s="107">
        <v>302180</v>
      </c>
      <c r="E395" s="107">
        <v>234790</v>
      </c>
      <c r="F395" s="107">
        <v>216040</v>
      </c>
      <c r="G395" s="107">
        <v>197290</v>
      </c>
      <c r="H395" s="107">
        <v>178540</v>
      </c>
      <c r="I395" s="107">
        <v>159790</v>
      </c>
      <c r="J395" s="107">
        <v>141040</v>
      </c>
      <c r="K395" s="107">
        <v>122290</v>
      </c>
      <c r="L395" s="107">
        <v>103540</v>
      </c>
      <c r="M395" s="107">
        <v>85690</v>
      </c>
    </row>
    <row r="396" spans="1:13" s="114" customFormat="1">
      <c r="A396" s="107">
        <v>4880</v>
      </c>
      <c r="B396" s="107">
        <v>4900</v>
      </c>
      <c r="C396" s="107">
        <v>333640</v>
      </c>
      <c r="D396" s="107">
        <v>304970</v>
      </c>
      <c r="E396" s="107">
        <v>237370</v>
      </c>
      <c r="F396" s="107">
        <v>218620</v>
      </c>
      <c r="G396" s="107">
        <v>199870</v>
      </c>
      <c r="H396" s="107">
        <v>181120</v>
      </c>
      <c r="I396" s="107">
        <v>162370</v>
      </c>
      <c r="J396" s="107">
        <v>143620</v>
      </c>
      <c r="K396" s="107">
        <v>124870</v>
      </c>
      <c r="L396" s="107">
        <v>106120</v>
      </c>
      <c r="M396" s="107">
        <v>87490</v>
      </c>
    </row>
    <row r="397" spans="1:13" s="114" customFormat="1">
      <c r="A397" s="107">
        <v>4900</v>
      </c>
      <c r="B397" s="107">
        <v>4920</v>
      </c>
      <c r="C397" s="107">
        <v>336440</v>
      </c>
      <c r="D397" s="107">
        <v>307760</v>
      </c>
      <c r="E397" s="107">
        <v>239950</v>
      </c>
      <c r="F397" s="107">
        <v>221200</v>
      </c>
      <c r="G397" s="107">
        <v>202450</v>
      </c>
      <c r="H397" s="107">
        <v>183700</v>
      </c>
      <c r="I397" s="107">
        <v>164950</v>
      </c>
      <c r="J397" s="107">
        <v>146200</v>
      </c>
      <c r="K397" s="107">
        <v>127450</v>
      </c>
      <c r="L397" s="107">
        <v>108700</v>
      </c>
      <c r="M397" s="107">
        <v>89950</v>
      </c>
    </row>
    <row r="398" spans="1:13" s="114" customFormat="1">
      <c r="A398" s="107">
        <v>4920</v>
      </c>
      <c r="B398" s="107">
        <v>4940</v>
      </c>
      <c r="C398" s="107">
        <v>339250</v>
      </c>
      <c r="D398" s="107">
        <v>310550</v>
      </c>
      <c r="E398" s="107">
        <v>242530</v>
      </c>
      <c r="F398" s="107">
        <v>223780</v>
      </c>
      <c r="G398" s="107">
        <v>205030</v>
      </c>
      <c r="H398" s="107">
        <v>186280</v>
      </c>
      <c r="I398" s="107">
        <v>167530</v>
      </c>
      <c r="J398" s="107">
        <v>148780</v>
      </c>
      <c r="K398" s="107">
        <v>130030</v>
      </c>
      <c r="L398" s="107">
        <v>111280</v>
      </c>
      <c r="M398" s="107">
        <v>92530</v>
      </c>
    </row>
    <row r="399" spans="1:13" s="114" customFormat="1">
      <c r="A399" s="107">
        <v>4940</v>
      </c>
      <c r="B399" s="107">
        <v>4960</v>
      </c>
      <c r="C399" s="107">
        <v>342050</v>
      </c>
      <c r="D399" s="107">
        <v>313340</v>
      </c>
      <c r="E399" s="107">
        <v>245110</v>
      </c>
      <c r="F399" s="107">
        <v>226360</v>
      </c>
      <c r="G399" s="107">
        <v>207610</v>
      </c>
      <c r="H399" s="107">
        <v>188860</v>
      </c>
      <c r="I399" s="107">
        <v>170110</v>
      </c>
      <c r="J399" s="107">
        <v>151360</v>
      </c>
      <c r="K399" s="107">
        <v>132610</v>
      </c>
      <c r="L399" s="107">
        <v>113860</v>
      </c>
      <c r="M399" s="107">
        <v>95110</v>
      </c>
    </row>
    <row r="400" spans="1:13" s="114" customFormat="1">
      <c r="A400" s="107">
        <v>4960</v>
      </c>
      <c r="B400" s="107">
        <v>4980</v>
      </c>
      <c r="C400" s="107">
        <v>344860</v>
      </c>
      <c r="D400" s="107">
        <v>316130</v>
      </c>
      <c r="E400" s="107">
        <v>247690</v>
      </c>
      <c r="F400" s="107">
        <v>228940</v>
      </c>
      <c r="G400" s="107">
        <v>210190</v>
      </c>
      <c r="H400" s="107">
        <v>191440</v>
      </c>
      <c r="I400" s="107">
        <v>172690</v>
      </c>
      <c r="J400" s="107">
        <v>153940</v>
      </c>
      <c r="K400" s="107">
        <v>135190</v>
      </c>
      <c r="L400" s="107">
        <v>116440</v>
      </c>
      <c r="M400" s="107">
        <v>97690</v>
      </c>
    </row>
    <row r="401" spans="1:13" s="114" customFormat="1">
      <c r="A401" s="107">
        <v>4980</v>
      </c>
      <c r="B401" s="107">
        <v>5000</v>
      </c>
      <c r="C401" s="107">
        <v>347660</v>
      </c>
      <c r="D401" s="107">
        <v>318920</v>
      </c>
      <c r="E401" s="107">
        <v>250270</v>
      </c>
      <c r="F401" s="107">
        <v>231520</v>
      </c>
      <c r="G401" s="107">
        <v>212770</v>
      </c>
      <c r="H401" s="107">
        <v>194020</v>
      </c>
      <c r="I401" s="107">
        <v>175270</v>
      </c>
      <c r="J401" s="107">
        <v>156520</v>
      </c>
      <c r="K401" s="107">
        <v>137770</v>
      </c>
      <c r="L401" s="107">
        <v>119020</v>
      </c>
      <c r="M401" s="107">
        <v>100270</v>
      </c>
    </row>
    <row r="402" spans="1:13" s="114" customFormat="1">
      <c r="A402" s="107">
        <v>5000</v>
      </c>
      <c r="B402" s="107">
        <v>5020</v>
      </c>
      <c r="C402" s="107">
        <v>350470</v>
      </c>
      <c r="D402" s="107">
        <v>321710</v>
      </c>
      <c r="E402" s="107">
        <v>252850</v>
      </c>
      <c r="F402" s="107">
        <v>234100</v>
      </c>
      <c r="G402" s="107">
        <v>215350</v>
      </c>
      <c r="H402" s="107">
        <v>196600</v>
      </c>
      <c r="I402" s="107">
        <v>177850</v>
      </c>
      <c r="J402" s="107">
        <v>159100</v>
      </c>
      <c r="K402" s="107">
        <v>140350</v>
      </c>
      <c r="L402" s="107">
        <v>121600</v>
      </c>
      <c r="M402" s="107">
        <v>102850</v>
      </c>
    </row>
    <row r="403" spans="1:13" s="114" customFormat="1">
      <c r="A403" s="107">
        <v>5020</v>
      </c>
      <c r="B403" s="107">
        <v>5040</v>
      </c>
      <c r="C403" s="107">
        <v>353270</v>
      </c>
      <c r="D403" s="107">
        <v>324500</v>
      </c>
      <c r="E403" s="107">
        <v>255430</v>
      </c>
      <c r="F403" s="107">
        <v>236680</v>
      </c>
      <c r="G403" s="107">
        <v>217930</v>
      </c>
      <c r="H403" s="107">
        <v>199180</v>
      </c>
      <c r="I403" s="107">
        <v>180430</v>
      </c>
      <c r="J403" s="107">
        <v>161680</v>
      </c>
      <c r="K403" s="107">
        <v>142930</v>
      </c>
      <c r="L403" s="107">
        <v>124180</v>
      </c>
      <c r="M403" s="107">
        <v>105430</v>
      </c>
    </row>
    <row r="404" spans="1:13" s="114" customFormat="1">
      <c r="A404" s="107">
        <v>5040</v>
      </c>
      <c r="B404" s="107">
        <v>5060</v>
      </c>
      <c r="C404" s="107">
        <v>356080</v>
      </c>
      <c r="D404" s="107">
        <v>327290</v>
      </c>
      <c r="E404" s="107">
        <v>258010</v>
      </c>
      <c r="F404" s="107">
        <v>239260</v>
      </c>
      <c r="G404" s="107">
        <v>220510</v>
      </c>
      <c r="H404" s="107">
        <v>201760</v>
      </c>
      <c r="I404" s="107">
        <v>183010</v>
      </c>
      <c r="J404" s="107">
        <v>164260</v>
      </c>
      <c r="K404" s="107">
        <v>145510</v>
      </c>
      <c r="L404" s="107">
        <v>126760</v>
      </c>
      <c r="M404" s="107">
        <v>108010</v>
      </c>
    </row>
    <row r="405" spans="1:13" s="114" customFormat="1">
      <c r="A405" s="107">
        <v>5060</v>
      </c>
      <c r="B405" s="107">
        <v>5080</v>
      </c>
      <c r="C405" s="107">
        <v>358880</v>
      </c>
      <c r="D405" s="107">
        <v>330080</v>
      </c>
      <c r="E405" s="107">
        <v>260590</v>
      </c>
      <c r="F405" s="107">
        <v>241840</v>
      </c>
      <c r="G405" s="107">
        <v>223090</v>
      </c>
      <c r="H405" s="107">
        <v>204340</v>
      </c>
      <c r="I405" s="107">
        <v>185590</v>
      </c>
      <c r="J405" s="107">
        <v>166840</v>
      </c>
      <c r="K405" s="107">
        <v>148090</v>
      </c>
      <c r="L405" s="107">
        <v>129340</v>
      </c>
      <c r="M405" s="107">
        <v>110590</v>
      </c>
    </row>
    <row r="406" spans="1:13" s="114" customFormat="1">
      <c r="A406" s="107">
        <v>5080</v>
      </c>
      <c r="B406" s="107">
        <v>5100</v>
      </c>
      <c r="C406" s="107">
        <v>361690</v>
      </c>
      <c r="D406" s="107">
        <v>332870</v>
      </c>
      <c r="E406" s="107">
        <v>263170</v>
      </c>
      <c r="F406" s="107">
        <v>244420</v>
      </c>
      <c r="G406" s="107">
        <v>225670</v>
      </c>
      <c r="H406" s="107">
        <v>206920</v>
      </c>
      <c r="I406" s="107">
        <v>188170</v>
      </c>
      <c r="J406" s="107">
        <v>169420</v>
      </c>
      <c r="K406" s="107">
        <v>150670</v>
      </c>
      <c r="L406" s="107">
        <v>131920</v>
      </c>
      <c r="M406" s="107">
        <v>113170</v>
      </c>
    </row>
    <row r="407" spans="1:13" s="114" customFormat="1">
      <c r="A407" s="107">
        <v>5100</v>
      </c>
      <c r="B407" s="107">
        <v>5120</v>
      </c>
      <c r="C407" s="107">
        <v>364490</v>
      </c>
      <c r="D407" s="107">
        <v>335660</v>
      </c>
      <c r="E407" s="107">
        <v>265750</v>
      </c>
      <c r="F407" s="107">
        <v>247000</v>
      </c>
      <c r="G407" s="107">
        <v>228250</v>
      </c>
      <c r="H407" s="107">
        <v>209500</v>
      </c>
      <c r="I407" s="107">
        <v>190750</v>
      </c>
      <c r="J407" s="107">
        <v>172000</v>
      </c>
      <c r="K407" s="107">
        <v>153250</v>
      </c>
      <c r="L407" s="107">
        <v>134500</v>
      </c>
      <c r="M407" s="107">
        <v>115750</v>
      </c>
    </row>
    <row r="408" spans="1:13" s="114" customFormat="1">
      <c r="A408" s="107">
        <v>5120</v>
      </c>
      <c r="B408" s="107">
        <v>5140</v>
      </c>
      <c r="C408" s="107">
        <v>367300</v>
      </c>
      <c r="D408" s="107">
        <v>338450</v>
      </c>
      <c r="E408" s="107">
        <v>268330</v>
      </c>
      <c r="F408" s="107">
        <v>249580</v>
      </c>
      <c r="G408" s="107">
        <v>230830</v>
      </c>
      <c r="H408" s="107">
        <v>212080</v>
      </c>
      <c r="I408" s="107">
        <v>193330</v>
      </c>
      <c r="J408" s="107">
        <v>174580</v>
      </c>
      <c r="K408" s="107">
        <v>155830</v>
      </c>
      <c r="L408" s="107">
        <v>137080</v>
      </c>
      <c r="M408" s="107">
        <v>118330</v>
      </c>
    </row>
    <row r="409" spans="1:13" s="114" customFormat="1">
      <c r="A409" s="107">
        <v>5140</v>
      </c>
      <c r="B409" s="107">
        <v>5160</v>
      </c>
      <c r="C409" s="107">
        <v>370100</v>
      </c>
      <c r="D409" s="107">
        <v>341240</v>
      </c>
      <c r="E409" s="107">
        <v>270910</v>
      </c>
      <c r="F409" s="107">
        <v>252160</v>
      </c>
      <c r="G409" s="107">
        <v>233410</v>
      </c>
      <c r="H409" s="107">
        <v>214660</v>
      </c>
      <c r="I409" s="107">
        <v>195910</v>
      </c>
      <c r="J409" s="107">
        <v>177160</v>
      </c>
      <c r="K409" s="107">
        <v>158410</v>
      </c>
      <c r="L409" s="107">
        <v>139660</v>
      </c>
      <c r="M409" s="107">
        <v>120910</v>
      </c>
    </row>
    <row r="410" spans="1:13" s="114" customFormat="1">
      <c r="A410" s="107">
        <v>5160</v>
      </c>
      <c r="B410" s="107">
        <v>5180</v>
      </c>
      <c r="C410" s="107">
        <v>372910</v>
      </c>
      <c r="D410" s="107">
        <v>344030</v>
      </c>
      <c r="E410" s="107">
        <v>273490</v>
      </c>
      <c r="F410" s="107">
        <v>254740</v>
      </c>
      <c r="G410" s="107">
        <v>235990</v>
      </c>
      <c r="H410" s="107">
        <v>217240</v>
      </c>
      <c r="I410" s="107">
        <v>198490</v>
      </c>
      <c r="J410" s="107">
        <v>179740</v>
      </c>
      <c r="K410" s="107">
        <v>160990</v>
      </c>
      <c r="L410" s="107">
        <v>142240</v>
      </c>
      <c r="M410" s="107">
        <v>123490</v>
      </c>
    </row>
    <row r="411" spans="1:13" s="114" customFormat="1">
      <c r="A411" s="107">
        <v>5180</v>
      </c>
      <c r="B411" s="107">
        <v>5200</v>
      </c>
      <c r="C411" s="107">
        <v>375710</v>
      </c>
      <c r="D411" s="107">
        <v>346820</v>
      </c>
      <c r="E411" s="107">
        <v>276070</v>
      </c>
      <c r="F411" s="107">
        <v>257320</v>
      </c>
      <c r="G411" s="107">
        <v>238570</v>
      </c>
      <c r="H411" s="107">
        <v>219820</v>
      </c>
      <c r="I411" s="107">
        <v>201070</v>
      </c>
      <c r="J411" s="107">
        <v>182320</v>
      </c>
      <c r="K411" s="107">
        <v>163570</v>
      </c>
      <c r="L411" s="107">
        <v>144820</v>
      </c>
      <c r="M411" s="107">
        <v>126070</v>
      </c>
    </row>
    <row r="412" spans="1:13" s="114" customFormat="1">
      <c r="A412" s="107">
        <v>5200</v>
      </c>
      <c r="B412" s="107">
        <v>5220</v>
      </c>
      <c r="C412" s="107">
        <v>378520</v>
      </c>
      <c r="D412" s="107">
        <v>349610</v>
      </c>
      <c r="E412" s="107">
        <v>278650</v>
      </c>
      <c r="F412" s="107">
        <v>259900</v>
      </c>
      <c r="G412" s="107">
        <v>241150</v>
      </c>
      <c r="H412" s="107">
        <v>222400</v>
      </c>
      <c r="I412" s="107">
        <v>203650</v>
      </c>
      <c r="J412" s="107">
        <v>184900</v>
      </c>
      <c r="K412" s="107">
        <v>166150</v>
      </c>
      <c r="L412" s="107">
        <v>147400</v>
      </c>
      <c r="M412" s="107">
        <v>128650</v>
      </c>
    </row>
    <row r="413" spans="1:13" s="114" customFormat="1">
      <c r="A413" s="107">
        <v>5220</v>
      </c>
      <c r="B413" s="107">
        <v>5240</v>
      </c>
      <c r="C413" s="107">
        <v>381320</v>
      </c>
      <c r="D413" s="107">
        <v>352400</v>
      </c>
      <c r="E413" s="107">
        <v>281230</v>
      </c>
      <c r="F413" s="107">
        <v>262480</v>
      </c>
      <c r="G413" s="107">
        <v>243730</v>
      </c>
      <c r="H413" s="107">
        <v>224980</v>
      </c>
      <c r="I413" s="107">
        <v>206230</v>
      </c>
      <c r="J413" s="107">
        <v>187480</v>
      </c>
      <c r="K413" s="107">
        <v>168730</v>
      </c>
      <c r="L413" s="107">
        <v>149980</v>
      </c>
      <c r="M413" s="107">
        <v>131230</v>
      </c>
    </row>
    <row r="414" spans="1:13" s="114" customFormat="1">
      <c r="A414" s="107">
        <v>5240</v>
      </c>
      <c r="B414" s="107">
        <v>5260</v>
      </c>
      <c r="C414" s="107">
        <v>384130</v>
      </c>
      <c r="D414" s="107">
        <v>355190</v>
      </c>
      <c r="E414" s="107">
        <v>283810</v>
      </c>
      <c r="F414" s="107">
        <v>265060</v>
      </c>
      <c r="G414" s="107">
        <v>246310</v>
      </c>
      <c r="H414" s="107">
        <v>227560</v>
      </c>
      <c r="I414" s="107">
        <v>208810</v>
      </c>
      <c r="J414" s="107">
        <v>190060</v>
      </c>
      <c r="K414" s="107">
        <v>171310</v>
      </c>
      <c r="L414" s="107">
        <v>152560</v>
      </c>
      <c r="M414" s="107">
        <v>133810</v>
      </c>
    </row>
    <row r="415" spans="1:13" s="114" customFormat="1">
      <c r="A415" s="107">
        <v>5260</v>
      </c>
      <c r="B415" s="107">
        <v>5280</v>
      </c>
      <c r="C415" s="107">
        <v>386930</v>
      </c>
      <c r="D415" s="107">
        <v>357980</v>
      </c>
      <c r="E415" s="107">
        <v>286390</v>
      </c>
      <c r="F415" s="107">
        <v>267640</v>
      </c>
      <c r="G415" s="107">
        <v>248890</v>
      </c>
      <c r="H415" s="107">
        <v>230140</v>
      </c>
      <c r="I415" s="107">
        <v>211390</v>
      </c>
      <c r="J415" s="107">
        <v>192640</v>
      </c>
      <c r="K415" s="107">
        <v>173890</v>
      </c>
      <c r="L415" s="107">
        <v>155140</v>
      </c>
      <c r="M415" s="107">
        <v>136390</v>
      </c>
    </row>
    <row r="416" spans="1:13" s="114" customFormat="1">
      <c r="A416" s="107">
        <v>5280</v>
      </c>
      <c r="B416" s="107">
        <v>5300</v>
      </c>
      <c r="C416" s="107">
        <v>389740</v>
      </c>
      <c r="D416" s="107">
        <v>360770</v>
      </c>
      <c r="E416" s="107">
        <v>288970</v>
      </c>
      <c r="F416" s="107">
        <v>270220</v>
      </c>
      <c r="G416" s="107">
        <v>251470</v>
      </c>
      <c r="H416" s="107">
        <v>232720</v>
      </c>
      <c r="I416" s="107">
        <v>213970</v>
      </c>
      <c r="J416" s="107">
        <v>195220</v>
      </c>
      <c r="K416" s="107">
        <v>176470</v>
      </c>
      <c r="L416" s="107">
        <v>157720</v>
      </c>
      <c r="M416" s="107">
        <v>138970</v>
      </c>
    </row>
    <row r="417" spans="1:13" s="114" customFormat="1">
      <c r="A417" s="107">
        <v>5300</v>
      </c>
      <c r="B417" s="107">
        <v>5320</v>
      </c>
      <c r="C417" s="107">
        <v>392540</v>
      </c>
      <c r="D417" s="107">
        <v>363560</v>
      </c>
      <c r="E417" s="107">
        <v>291550</v>
      </c>
      <c r="F417" s="107">
        <v>272800</v>
      </c>
      <c r="G417" s="107">
        <v>254050</v>
      </c>
      <c r="H417" s="107">
        <v>235300</v>
      </c>
      <c r="I417" s="107">
        <v>216550</v>
      </c>
      <c r="J417" s="107">
        <v>197800</v>
      </c>
      <c r="K417" s="107">
        <v>179050</v>
      </c>
      <c r="L417" s="107">
        <v>160300</v>
      </c>
      <c r="M417" s="107">
        <v>141550</v>
      </c>
    </row>
    <row r="418" spans="1:13" s="114" customFormat="1">
      <c r="A418" s="107">
        <v>5320</v>
      </c>
      <c r="B418" s="107">
        <v>5340</v>
      </c>
      <c r="C418" s="107">
        <v>395350</v>
      </c>
      <c r="D418" s="107">
        <v>366350</v>
      </c>
      <c r="E418" s="107">
        <v>294130</v>
      </c>
      <c r="F418" s="107">
        <v>275380</v>
      </c>
      <c r="G418" s="107">
        <v>256630</v>
      </c>
      <c r="H418" s="107">
        <v>237880</v>
      </c>
      <c r="I418" s="107">
        <v>219130</v>
      </c>
      <c r="J418" s="107">
        <v>200380</v>
      </c>
      <c r="K418" s="107">
        <v>181630</v>
      </c>
      <c r="L418" s="107">
        <v>162880</v>
      </c>
      <c r="M418" s="107">
        <v>144130</v>
      </c>
    </row>
    <row r="419" spans="1:13" s="114" customFormat="1">
      <c r="A419" s="107">
        <v>5340</v>
      </c>
      <c r="B419" s="107">
        <v>5360</v>
      </c>
      <c r="C419" s="107">
        <v>398150</v>
      </c>
      <c r="D419" s="107">
        <v>369140</v>
      </c>
      <c r="E419" s="107">
        <v>296710</v>
      </c>
      <c r="F419" s="107">
        <v>277960</v>
      </c>
      <c r="G419" s="107">
        <v>259210</v>
      </c>
      <c r="H419" s="107">
        <v>240460</v>
      </c>
      <c r="I419" s="107">
        <v>221710</v>
      </c>
      <c r="J419" s="107">
        <v>202960</v>
      </c>
      <c r="K419" s="107">
        <v>184210</v>
      </c>
      <c r="L419" s="107">
        <v>165460</v>
      </c>
      <c r="M419" s="107">
        <v>146710</v>
      </c>
    </row>
    <row r="420" spans="1:13" s="114" customFormat="1">
      <c r="A420" s="107">
        <v>5360</v>
      </c>
      <c r="B420" s="107">
        <v>5380</v>
      </c>
      <c r="C420" s="107">
        <v>400960</v>
      </c>
      <c r="D420" s="107">
        <v>371930</v>
      </c>
      <c r="E420" s="107">
        <v>299290</v>
      </c>
      <c r="F420" s="107">
        <v>280540</v>
      </c>
      <c r="G420" s="107">
        <v>261790</v>
      </c>
      <c r="H420" s="107">
        <v>243040</v>
      </c>
      <c r="I420" s="107">
        <v>224290</v>
      </c>
      <c r="J420" s="107">
        <v>205540</v>
      </c>
      <c r="K420" s="107">
        <v>186790</v>
      </c>
      <c r="L420" s="107">
        <v>168040</v>
      </c>
      <c r="M420" s="107">
        <v>149290</v>
      </c>
    </row>
    <row r="421" spans="1:13" s="114" customFormat="1">
      <c r="A421" s="107">
        <v>5380</v>
      </c>
      <c r="B421" s="107">
        <v>5400</v>
      </c>
      <c r="C421" s="107">
        <v>403760</v>
      </c>
      <c r="D421" s="107">
        <v>374720</v>
      </c>
      <c r="E421" s="107">
        <v>301870</v>
      </c>
      <c r="F421" s="107">
        <v>283120</v>
      </c>
      <c r="G421" s="107">
        <v>264370</v>
      </c>
      <c r="H421" s="107">
        <v>245620</v>
      </c>
      <c r="I421" s="107">
        <v>226870</v>
      </c>
      <c r="J421" s="107">
        <v>208120</v>
      </c>
      <c r="K421" s="107">
        <v>189370</v>
      </c>
      <c r="L421" s="107">
        <v>170620</v>
      </c>
      <c r="M421" s="107">
        <v>151870</v>
      </c>
    </row>
    <row r="422" spans="1:13" s="114" customFormat="1">
      <c r="A422" s="107">
        <v>5400</v>
      </c>
      <c r="B422" s="107">
        <v>5420</v>
      </c>
      <c r="C422" s="107">
        <v>406570</v>
      </c>
      <c r="D422" s="107">
        <v>377510</v>
      </c>
      <c r="E422" s="107">
        <v>304450</v>
      </c>
      <c r="F422" s="107">
        <v>285700</v>
      </c>
      <c r="G422" s="107">
        <v>266950</v>
      </c>
      <c r="H422" s="107">
        <v>248200</v>
      </c>
      <c r="I422" s="107">
        <v>229450</v>
      </c>
      <c r="J422" s="107">
        <v>210700</v>
      </c>
      <c r="K422" s="107">
        <v>191950</v>
      </c>
      <c r="L422" s="107">
        <v>173200</v>
      </c>
      <c r="M422" s="107">
        <v>154450</v>
      </c>
    </row>
    <row r="423" spans="1:13" s="114" customFormat="1">
      <c r="A423" s="107">
        <v>5420</v>
      </c>
      <c r="B423" s="107">
        <v>5440</v>
      </c>
      <c r="C423" s="107">
        <v>409370</v>
      </c>
      <c r="D423" s="107">
        <v>380300</v>
      </c>
      <c r="E423" s="107">
        <v>307030</v>
      </c>
      <c r="F423" s="107">
        <v>288280</v>
      </c>
      <c r="G423" s="107">
        <v>269530</v>
      </c>
      <c r="H423" s="107">
        <v>250780</v>
      </c>
      <c r="I423" s="107">
        <v>232030</v>
      </c>
      <c r="J423" s="107">
        <v>213280</v>
      </c>
      <c r="K423" s="107">
        <v>194530</v>
      </c>
      <c r="L423" s="107">
        <v>175780</v>
      </c>
      <c r="M423" s="107">
        <v>157030</v>
      </c>
    </row>
    <row r="424" spans="1:13" s="114" customFormat="1">
      <c r="A424" s="107">
        <v>5440</v>
      </c>
      <c r="B424" s="107">
        <v>5460</v>
      </c>
      <c r="C424" s="107">
        <v>412180</v>
      </c>
      <c r="D424" s="107">
        <v>383090</v>
      </c>
      <c r="E424" s="107">
        <v>309610</v>
      </c>
      <c r="F424" s="107">
        <v>290860</v>
      </c>
      <c r="G424" s="107">
        <v>272110</v>
      </c>
      <c r="H424" s="107">
        <v>253360</v>
      </c>
      <c r="I424" s="107">
        <v>234610</v>
      </c>
      <c r="J424" s="107">
        <v>215860</v>
      </c>
      <c r="K424" s="107">
        <v>197110</v>
      </c>
      <c r="L424" s="107">
        <v>178360</v>
      </c>
      <c r="M424" s="107">
        <v>159610</v>
      </c>
    </row>
    <row r="425" spans="1:13" s="114" customFormat="1">
      <c r="A425" s="107">
        <v>5460</v>
      </c>
      <c r="B425" s="107">
        <v>5480</v>
      </c>
      <c r="C425" s="107">
        <v>414980</v>
      </c>
      <c r="D425" s="107">
        <v>385880</v>
      </c>
      <c r="E425" s="107">
        <v>312190</v>
      </c>
      <c r="F425" s="107">
        <v>293440</v>
      </c>
      <c r="G425" s="107">
        <v>274690</v>
      </c>
      <c r="H425" s="107">
        <v>255940</v>
      </c>
      <c r="I425" s="107">
        <v>237190</v>
      </c>
      <c r="J425" s="107">
        <v>218440</v>
      </c>
      <c r="K425" s="107">
        <v>199690</v>
      </c>
      <c r="L425" s="107">
        <v>180940</v>
      </c>
      <c r="M425" s="107">
        <v>162190</v>
      </c>
    </row>
    <row r="426" spans="1:13" s="114" customFormat="1">
      <c r="A426" s="107">
        <v>5480</v>
      </c>
      <c r="B426" s="107">
        <v>5500</v>
      </c>
      <c r="C426" s="107">
        <v>417790</v>
      </c>
      <c r="D426" s="107">
        <v>388670</v>
      </c>
      <c r="E426" s="107">
        <v>314770</v>
      </c>
      <c r="F426" s="107">
        <v>296020</v>
      </c>
      <c r="G426" s="107">
        <v>277270</v>
      </c>
      <c r="H426" s="107">
        <v>258520</v>
      </c>
      <c r="I426" s="107">
        <v>239770</v>
      </c>
      <c r="J426" s="107">
        <v>221020</v>
      </c>
      <c r="K426" s="107">
        <v>202270</v>
      </c>
      <c r="L426" s="107">
        <v>183520</v>
      </c>
      <c r="M426" s="107">
        <v>164770</v>
      </c>
    </row>
    <row r="427" spans="1:13" s="114" customFormat="1">
      <c r="A427" s="107">
        <v>5500</v>
      </c>
      <c r="B427" s="107">
        <v>5520</v>
      </c>
      <c r="C427" s="107">
        <v>420590</v>
      </c>
      <c r="D427" s="107">
        <v>391460</v>
      </c>
      <c r="E427" s="107">
        <v>317350</v>
      </c>
      <c r="F427" s="107">
        <v>298600</v>
      </c>
      <c r="G427" s="107">
        <v>279850</v>
      </c>
      <c r="H427" s="107">
        <v>261100</v>
      </c>
      <c r="I427" s="107">
        <v>242350</v>
      </c>
      <c r="J427" s="107">
        <v>223600</v>
      </c>
      <c r="K427" s="107">
        <v>204850</v>
      </c>
      <c r="L427" s="107">
        <v>186100</v>
      </c>
      <c r="M427" s="107">
        <v>167350</v>
      </c>
    </row>
    <row r="428" spans="1:13" s="114" customFormat="1">
      <c r="A428" s="107">
        <v>5520</v>
      </c>
      <c r="B428" s="107">
        <v>5540</v>
      </c>
      <c r="C428" s="107">
        <v>423400</v>
      </c>
      <c r="D428" s="107">
        <v>394250</v>
      </c>
      <c r="E428" s="107">
        <v>319930</v>
      </c>
      <c r="F428" s="107">
        <v>301180</v>
      </c>
      <c r="G428" s="107">
        <v>282430</v>
      </c>
      <c r="H428" s="107">
        <v>263680</v>
      </c>
      <c r="I428" s="107">
        <v>244930</v>
      </c>
      <c r="J428" s="107">
        <v>226180</v>
      </c>
      <c r="K428" s="107">
        <v>207430</v>
      </c>
      <c r="L428" s="107">
        <v>188680</v>
      </c>
      <c r="M428" s="107">
        <v>169930</v>
      </c>
    </row>
    <row r="429" spans="1:13" s="114" customFormat="1">
      <c r="A429" s="107">
        <v>5540</v>
      </c>
      <c r="B429" s="107">
        <v>5560</v>
      </c>
      <c r="C429" s="107">
        <v>426200</v>
      </c>
      <c r="D429" s="107">
        <v>397040</v>
      </c>
      <c r="E429" s="107">
        <v>322510</v>
      </c>
      <c r="F429" s="107">
        <v>303760</v>
      </c>
      <c r="G429" s="107">
        <v>285010</v>
      </c>
      <c r="H429" s="107">
        <v>266260</v>
      </c>
      <c r="I429" s="107">
        <v>247510</v>
      </c>
      <c r="J429" s="107">
        <v>228760</v>
      </c>
      <c r="K429" s="107">
        <v>210010</v>
      </c>
      <c r="L429" s="107">
        <v>191260</v>
      </c>
      <c r="M429" s="107">
        <v>172510</v>
      </c>
    </row>
    <row r="430" spans="1:13" s="114" customFormat="1">
      <c r="A430" s="107">
        <v>5560</v>
      </c>
      <c r="B430" s="107">
        <v>5580</v>
      </c>
      <c r="C430" s="107">
        <v>429010</v>
      </c>
      <c r="D430" s="107">
        <v>399830</v>
      </c>
      <c r="E430" s="107">
        <v>325090</v>
      </c>
      <c r="F430" s="107">
        <v>306340</v>
      </c>
      <c r="G430" s="107">
        <v>287590</v>
      </c>
      <c r="H430" s="107">
        <v>268840</v>
      </c>
      <c r="I430" s="107">
        <v>250090</v>
      </c>
      <c r="J430" s="107">
        <v>231340</v>
      </c>
      <c r="K430" s="107">
        <v>212590</v>
      </c>
      <c r="L430" s="107">
        <v>193840</v>
      </c>
      <c r="M430" s="107">
        <v>175090</v>
      </c>
    </row>
    <row r="431" spans="1:13" s="114" customFormat="1">
      <c r="A431" s="107">
        <v>5580</v>
      </c>
      <c r="B431" s="107">
        <v>5600</v>
      </c>
      <c r="C431" s="107">
        <v>431810</v>
      </c>
      <c r="D431" s="107">
        <v>402620</v>
      </c>
      <c r="E431" s="107">
        <v>327670</v>
      </c>
      <c r="F431" s="107">
        <v>308920</v>
      </c>
      <c r="G431" s="107">
        <v>290170</v>
      </c>
      <c r="H431" s="107">
        <v>271420</v>
      </c>
      <c r="I431" s="107">
        <v>252670</v>
      </c>
      <c r="J431" s="107">
        <v>233920</v>
      </c>
      <c r="K431" s="107">
        <v>215170</v>
      </c>
      <c r="L431" s="107">
        <v>196420</v>
      </c>
      <c r="M431" s="107">
        <v>177670</v>
      </c>
    </row>
    <row r="432" spans="1:13" s="114" customFormat="1">
      <c r="A432" s="107">
        <v>5600</v>
      </c>
      <c r="B432" s="107">
        <v>5620</v>
      </c>
      <c r="C432" s="107">
        <v>435890</v>
      </c>
      <c r="D432" s="107">
        <v>405410</v>
      </c>
      <c r="E432" s="107">
        <v>330250</v>
      </c>
      <c r="F432" s="107">
        <v>311500</v>
      </c>
      <c r="G432" s="107">
        <v>292750</v>
      </c>
      <c r="H432" s="107">
        <v>274000</v>
      </c>
      <c r="I432" s="107">
        <v>255250</v>
      </c>
      <c r="J432" s="107">
        <v>236500</v>
      </c>
      <c r="K432" s="107">
        <v>217750</v>
      </c>
      <c r="L432" s="107">
        <v>199000</v>
      </c>
      <c r="M432" s="107">
        <v>180250</v>
      </c>
    </row>
    <row r="433" spans="1:13" s="114" customFormat="1">
      <c r="A433" s="107">
        <v>5620</v>
      </c>
      <c r="B433" s="107">
        <v>5640</v>
      </c>
      <c r="C433" s="107">
        <v>440380</v>
      </c>
      <c r="D433" s="107">
        <v>408200</v>
      </c>
      <c r="E433" s="107">
        <v>332830</v>
      </c>
      <c r="F433" s="107">
        <v>314080</v>
      </c>
      <c r="G433" s="107">
        <v>295330</v>
      </c>
      <c r="H433" s="107">
        <v>276580</v>
      </c>
      <c r="I433" s="107">
        <v>257830</v>
      </c>
      <c r="J433" s="107">
        <v>239080</v>
      </c>
      <c r="K433" s="107">
        <v>220330</v>
      </c>
      <c r="L433" s="107">
        <v>201580</v>
      </c>
      <c r="M433" s="107">
        <v>182830</v>
      </c>
    </row>
    <row r="434" spans="1:13" s="114" customFormat="1">
      <c r="A434" s="107">
        <v>5640</v>
      </c>
      <c r="B434" s="107">
        <v>5660</v>
      </c>
      <c r="C434" s="107">
        <v>444860</v>
      </c>
      <c r="D434" s="107">
        <v>410990</v>
      </c>
      <c r="E434" s="107">
        <v>335410</v>
      </c>
      <c r="F434" s="107">
        <v>316660</v>
      </c>
      <c r="G434" s="107">
        <v>297910</v>
      </c>
      <c r="H434" s="107">
        <v>279160</v>
      </c>
      <c r="I434" s="107">
        <v>260410</v>
      </c>
      <c r="J434" s="107">
        <v>241660</v>
      </c>
      <c r="K434" s="107">
        <v>222910</v>
      </c>
      <c r="L434" s="107">
        <v>204160</v>
      </c>
      <c r="M434" s="107">
        <v>185410</v>
      </c>
    </row>
    <row r="435" spans="1:13" s="114" customFormat="1">
      <c r="A435" s="107">
        <v>5660</v>
      </c>
      <c r="B435" s="107">
        <v>5680</v>
      </c>
      <c r="C435" s="107">
        <v>449350</v>
      </c>
      <c r="D435" s="107">
        <v>413780</v>
      </c>
      <c r="E435" s="107">
        <v>337990</v>
      </c>
      <c r="F435" s="107">
        <v>319240</v>
      </c>
      <c r="G435" s="107">
        <v>300490</v>
      </c>
      <c r="H435" s="107">
        <v>281740</v>
      </c>
      <c r="I435" s="107">
        <v>262990</v>
      </c>
      <c r="J435" s="107">
        <v>244240</v>
      </c>
      <c r="K435" s="107">
        <v>225490</v>
      </c>
      <c r="L435" s="107">
        <v>206740</v>
      </c>
      <c r="M435" s="107">
        <v>187990</v>
      </c>
    </row>
    <row r="436" spans="1:13" s="114" customFormat="1">
      <c r="A436" s="107">
        <v>5680</v>
      </c>
      <c r="B436" s="107">
        <v>5700</v>
      </c>
      <c r="C436" s="107">
        <v>453840</v>
      </c>
      <c r="D436" s="107">
        <v>416570</v>
      </c>
      <c r="E436" s="107">
        <v>340570</v>
      </c>
      <c r="F436" s="107">
        <v>321820</v>
      </c>
      <c r="G436" s="107">
        <v>303070</v>
      </c>
      <c r="H436" s="107">
        <v>284320</v>
      </c>
      <c r="I436" s="107">
        <v>265570</v>
      </c>
      <c r="J436" s="107">
        <v>246820</v>
      </c>
      <c r="K436" s="107">
        <v>228070</v>
      </c>
      <c r="L436" s="107">
        <v>209320</v>
      </c>
      <c r="M436" s="107">
        <v>190570</v>
      </c>
    </row>
    <row r="437" spans="1:13" s="114" customFormat="1">
      <c r="A437" s="107">
        <v>5700</v>
      </c>
      <c r="B437" s="107">
        <v>5720</v>
      </c>
      <c r="C437" s="107">
        <v>458330</v>
      </c>
      <c r="D437" s="107">
        <v>419360</v>
      </c>
      <c r="E437" s="107">
        <v>343150</v>
      </c>
      <c r="F437" s="107">
        <v>324400</v>
      </c>
      <c r="G437" s="107">
        <v>305650</v>
      </c>
      <c r="H437" s="107">
        <v>286900</v>
      </c>
      <c r="I437" s="107">
        <v>268150</v>
      </c>
      <c r="J437" s="107">
        <v>249400</v>
      </c>
      <c r="K437" s="107">
        <v>230650</v>
      </c>
      <c r="L437" s="107">
        <v>211900</v>
      </c>
      <c r="M437" s="107">
        <v>193150</v>
      </c>
    </row>
    <row r="438" spans="1:13" s="114" customFormat="1">
      <c r="A438" s="107">
        <v>5720</v>
      </c>
      <c r="B438" s="107">
        <v>5740</v>
      </c>
      <c r="C438" s="107">
        <v>462820</v>
      </c>
      <c r="D438" s="107">
        <v>422150</v>
      </c>
      <c r="E438" s="107">
        <v>345730</v>
      </c>
      <c r="F438" s="107">
        <v>326980</v>
      </c>
      <c r="G438" s="107">
        <v>308230</v>
      </c>
      <c r="H438" s="107">
        <v>289480</v>
      </c>
      <c r="I438" s="107">
        <v>270730</v>
      </c>
      <c r="J438" s="107">
        <v>251980</v>
      </c>
      <c r="K438" s="107">
        <v>233230</v>
      </c>
      <c r="L438" s="107">
        <v>214480</v>
      </c>
      <c r="M438" s="107">
        <v>195730</v>
      </c>
    </row>
    <row r="439" spans="1:13" s="114" customFormat="1">
      <c r="A439" s="107">
        <v>5740</v>
      </c>
      <c r="B439" s="107">
        <v>5760</v>
      </c>
      <c r="C439" s="107">
        <v>467300</v>
      </c>
      <c r="D439" s="107">
        <v>424940</v>
      </c>
      <c r="E439" s="107">
        <v>348310</v>
      </c>
      <c r="F439" s="107">
        <v>329560</v>
      </c>
      <c r="G439" s="107">
        <v>310810</v>
      </c>
      <c r="H439" s="107">
        <v>292060</v>
      </c>
      <c r="I439" s="107">
        <v>273310</v>
      </c>
      <c r="J439" s="107">
        <v>254560</v>
      </c>
      <c r="K439" s="107">
        <v>235810</v>
      </c>
      <c r="L439" s="107">
        <v>217060</v>
      </c>
      <c r="M439" s="107">
        <v>198310</v>
      </c>
    </row>
    <row r="440" spans="1:13" s="114" customFormat="1">
      <c r="A440" s="107">
        <v>5760</v>
      </c>
      <c r="B440" s="107">
        <v>5780</v>
      </c>
      <c r="C440" s="107">
        <v>471790</v>
      </c>
      <c r="D440" s="107">
        <v>427730</v>
      </c>
      <c r="E440" s="107">
        <v>350890</v>
      </c>
      <c r="F440" s="107">
        <v>332140</v>
      </c>
      <c r="G440" s="107">
        <v>313390</v>
      </c>
      <c r="H440" s="107">
        <v>294640</v>
      </c>
      <c r="I440" s="107">
        <v>275890</v>
      </c>
      <c r="J440" s="107">
        <v>257140</v>
      </c>
      <c r="K440" s="107">
        <v>238390</v>
      </c>
      <c r="L440" s="107">
        <v>219640</v>
      </c>
      <c r="M440" s="107">
        <v>200890</v>
      </c>
    </row>
    <row r="441" spans="1:13" s="114" customFormat="1">
      <c r="A441" s="107">
        <v>5780</v>
      </c>
      <c r="B441" s="107">
        <v>5800</v>
      </c>
      <c r="C441" s="107">
        <v>476280</v>
      </c>
      <c r="D441" s="107">
        <v>430520</v>
      </c>
      <c r="E441" s="107">
        <v>353470</v>
      </c>
      <c r="F441" s="107">
        <v>334720</v>
      </c>
      <c r="G441" s="107">
        <v>315970</v>
      </c>
      <c r="H441" s="107">
        <v>297220</v>
      </c>
      <c r="I441" s="107">
        <v>278470</v>
      </c>
      <c r="J441" s="107">
        <v>259720</v>
      </c>
      <c r="K441" s="107">
        <v>240970</v>
      </c>
      <c r="L441" s="107">
        <v>222220</v>
      </c>
      <c r="M441" s="107">
        <v>203470</v>
      </c>
    </row>
    <row r="442" spans="1:13" s="114" customFormat="1">
      <c r="A442" s="107">
        <v>5800</v>
      </c>
      <c r="B442" s="107">
        <v>5820</v>
      </c>
      <c r="C442" s="107">
        <v>480770</v>
      </c>
      <c r="D442" s="107">
        <v>433800</v>
      </c>
      <c r="E442" s="107">
        <v>356050</v>
      </c>
      <c r="F442" s="107">
        <v>337300</v>
      </c>
      <c r="G442" s="107">
        <v>318550</v>
      </c>
      <c r="H442" s="107">
        <v>299800</v>
      </c>
      <c r="I442" s="107">
        <v>281050</v>
      </c>
      <c r="J442" s="107">
        <v>262300</v>
      </c>
      <c r="K442" s="107">
        <v>243550</v>
      </c>
      <c r="L442" s="107">
        <v>224800</v>
      </c>
      <c r="M442" s="107">
        <v>206050</v>
      </c>
    </row>
    <row r="443" spans="1:13" s="114" customFormat="1">
      <c r="A443" s="107">
        <v>5820</v>
      </c>
      <c r="B443" s="107">
        <v>5840</v>
      </c>
      <c r="C443" s="107">
        <v>485260</v>
      </c>
      <c r="D443" s="107">
        <v>438260</v>
      </c>
      <c r="E443" s="107">
        <v>358630</v>
      </c>
      <c r="F443" s="107">
        <v>339880</v>
      </c>
      <c r="G443" s="107">
        <v>321130</v>
      </c>
      <c r="H443" s="107">
        <v>302380</v>
      </c>
      <c r="I443" s="107">
        <v>283630</v>
      </c>
      <c r="J443" s="107">
        <v>264880</v>
      </c>
      <c r="K443" s="107">
        <v>246130</v>
      </c>
      <c r="L443" s="107">
        <v>227380</v>
      </c>
      <c r="M443" s="107">
        <v>208630</v>
      </c>
    </row>
    <row r="444" spans="1:13" s="114" customFormat="1">
      <c r="A444" s="107">
        <v>5840</v>
      </c>
      <c r="B444" s="107">
        <v>5860</v>
      </c>
      <c r="C444" s="107">
        <v>512120</v>
      </c>
      <c r="D444" s="107">
        <v>465100</v>
      </c>
      <c r="E444" s="107">
        <v>387100</v>
      </c>
      <c r="F444" s="107">
        <v>368350</v>
      </c>
      <c r="G444" s="107">
        <v>349600</v>
      </c>
      <c r="H444" s="107">
        <v>330850</v>
      </c>
      <c r="I444" s="107">
        <v>312100</v>
      </c>
      <c r="J444" s="107">
        <v>293350</v>
      </c>
      <c r="K444" s="107">
        <v>274600</v>
      </c>
      <c r="L444" s="107">
        <v>255850</v>
      </c>
      <c r="M444" s="107">
        <v>237100</v>
      </c>
    </row>
    <row r="445" spans="1:13" s="114" customFormat="1">
      <c r="A445" s="107">
        <v>5860</v>
      </c>
      <c r="B445" s="107">
        <v>5880</v>
      </c>
      <c r="C445" s="107">
        <v>519150</v>
      </c>
      <c r="D445" s="107">
        <v>472110</v>
      </c>
      <c r="E445" s="107">
        <v>392240</v>
      </c>
      <c r="F445" s="107">
        <v>373490</v>
      </c>
      <c r="G445" s="107">
        <v>354740</v>
      </c>
      <c r="H445" s="107">
        <v>335990</v>
      </c>
      <c r="I445" s="107">
        <v>317240</v>
      </c>
      <c r="J445" s="107">
        <v>298490</v>
      </c>
      <c r="K445" s="107">
        <v>279740</v>
      </c>
      <c r="L445" s="107">
        <v>260990</v>
      </c>
      <c r="M445" s="107">
        <v>242240</v>
      </c>
    </row>
    <row r="446" spans="1:13" s="114" customFormat="1">
      <c r="A446" s="107">
        <v>5880</v>
      </c>
      <c r="B446" s="107">
        <v>5900</v>
      </c>
      <c r="C446" s="107">
        <v>523690</v>
      </c>
      <c r="D446" s="107">
        <v>476620</v>
      </c>
      <c r="E446" s="107">
        <v>394880</v>
      </c>
      <c r="F446" s="107">
        <v>376130</v>
      </c>
      <c r="G446" s="107">
        <v>357380</v>
      </c>
      <c r="H446" s="107">
        <v>338630</v>
      </c>
      <c r="I446" s="107">
        <v>319880</v>
      </c>
      <c r="J446" s="107">
        <v>301130</v>
      </c>
      <c r="K446" s="107">
        <v>282380</v>
      </c>
      <c r="L446" s="107">
        <v>263630</v>
      </c>
      <c r="M446" s="107">
        <v>244880</v>
      </c>
    </row>
    <row r="447" spans="1:13" s="114" customFormat="1">
      <c r="A447" s="107">
        <v>5900</v>
      </c>
      <c r="B447" s="107">
        <v>5920</v>
      </c>
      <c r="C447" s="107">
        <v>528220</v>
      </c>
      <c r="D447" s="107">
        <v>481130</v>
      </c>
      <c r="E447" s="107">
        <v>397520</v>
      </c>
      <c r="F447" s="107">
        <v>378770</v>
      </c>
      <c r="G447" s="107">
        <v>360020</v>
      </c>
      <c r="H447" s="107">
        <v>341270</v>
      </c>
      <c r="I447" s="107">
        <v>322520</v>
      </c>
      <c r="J447" s="107">
        <v>303770</v>
      </c>
      <c r="K447" s="107">
        <v>285020</v>
      </c>
      <c r="L447" s="107">
        <v>266270</v>
      </c>
      <c r="M447" s="107">
        <v>247520</v>
      </c>
    </row>
    <row r="448" spans="1:13" s="114" customFormat="1">
      <c r="A448" s="107">
        <v>5920</v>
      </c>
      <c r="B448" s="107">
        <v>5940</v>
      </c>
      <c r="C448" s="107">
        <v>532760</v>
      </c>
      <c r="D448" s="107">
        <v>485640</v>
      </c>
      <c r="E448" s="107">
        <v>400160</v>
      </c>
      <c r="F448" s="107">
        <v>381410</v>
      </c>
      <c r="G448" s="107">
        <v>362660</v>
      </c>
      <c r="H448" s="107">
        <v>343910</v>
      </c>
      <c r="I448" s="107">
        <v>325160</v>
      </c>
      <c r="J448" s="107">
        <v>306410</v>
      </c>
      <c r="K448" s="107">
        <v>287660</v>
      </c>
      <c r="L448" s="107">
        <v>268910</v>
      </c>
      <c r="M448" s="107">
        <v>250160</v>
      </c>
    </row>
    <row r="449" spans="1:13" s="114" customFormat="1">
      <c r="A449" s="107">
        <v>5940</v>
      </c>
      <c r="B449" s="107">
        <v>5960</v>
      </c>
      <c r="C449" s="107">
        <v>537300</v>
      </c>
      <c r="D449" s="107">
        <v>490160</v>
      </c>
      <c r="E449" s="107">
        <v>402800</v>
      </c>
      <c r="F449" s="107">
        <v>384050</v>
      </c>
      <c r="G449" s="107">
        <v>365300</v>
      </c>
      <c r="H449" s="107">
        <v>346550</v>
      </c>
      <c r="I449" s="107">
        <v>327800</v>
      </c>
      <c r="J449" s="107">
        <v>309050</v>
      </c>
      <c r="K449" s="107">
        <v>290300</v>
      </c>
      <c r="L449" s="107">
        <v>271550</v>
      </c>
      <c r="M449" s="107">
        <v>252800</v>
      </c>
    </row>
    <row r="450" spans="1:13" s="114" customFormat="1">
      <c r="A450" s="107">
        <v>5960</v>
      </c>
      <c r="B450" s="107">
        <v>5980</v>
      </c>
      <c r="C450" s="107">
        <v>541830</v>
      </c>
      <c r="D450" s="107">
        <v>494670</v>
      </c>
      <c r="E450" s="107">
        <v>405440</v>
      </c>
      <c r="F450" s="107">
        <v>386690</v>
      </c>
      <c r="G450" s="107">
        <v>367940</v>
      </c>
      <c r="H450" s="107">
        <v>349190</v>
      </c>
      <c r="I450" s="107">
        <v>330440</v>
      </c>
      <c r="J450" s="107">
        <v>311690</v>
      </c>
      <c r="K450" s="107">
        <v>292940</v>
      </c>
      <c r="L450" s="107">
        <v>274190</v>
      </c>
      <c r="M450" s="107">
        <v>255440</v>
      </c>
    </row>
    <row r="451" spans="1:13" s="114" customFormat="1">
      <c r="A451" s="107">
        <v>5980</v>
      </c>
      <c r="B451" s="107">
        <v>6000</v>
      </c>
      <c r="C451" s="107">
        <v>546370</v>
      </c>
      <c r="D451" s="107">
        <v>499180</v>
      </c>
      <c r="E451" s="107">
        <v>408080</v>
      </c>
      <c r="F451" s="107">
        <v>389330</v>
      </c>
      <c r="G451" s="107">
        <v>370580</v>
      </c>
      <c r="H451" s="107">
        <v>351830</v>
      </c>
      <c r="I451" s="107">
        <v>333080</v>
      </c>
      <c r="J451" s="107">
        <v>314330</v>
      </c>
      <c r="K451" s="107">
        <v>295580</v>
      </c>
      <c r="L451" s="107">
        <v>276830</v>
      </c>
      <c r="M451" s="107">
        <v>258080</v>
      </c>
    </row>
    <row r="452" spans="1:13" s="114" customFormat="1">
      <c r="A452" s="107">
        <v>6000</v>
      </c>
      <c r="B452" s="107">
        <v>6020</v>
      </c>
      <c r="C452" s="107">
        <v>550900</v>
      </c>
      <c r="D452" s="107">
        <v>503690</v>
      </c>
      <c r="E452" s="107">
        <v>410720</v>
      </c>
      <c r="F452" s="107">
        <v>391970</v>
      </c>
      <c r="G452" s="107">
        <v>373220</v>
      </c>
      <c r="H452" s="107">
        <v>354470</v>
      </c>
      <c r="I452" s="107">
        <v>335720</v>
      </c>
      <c r="J452" s="107">
        <v>316970</v>
      </c>
      <c r="K452" s="107">
        <v>298220</v>
      </c>
      <c r="L452" s="107">
        <v>279470</v>
      </c>
      <c r="M452" s="107">
        <v>260720</v>
      </c>
    </row>
    <row r="453" spans="1:13" s="114" customFormat="1">
      <c r="A453" s="107">
        <v>6020</v>
      </c>
      <c r="B453" s="107">
        <v>6040</v>
      </c>
      <c r="C453" s="107">
        <v>555440</v>
      </c>
      <c r="D453" s="107">
        <v>508200</v>
      </c>
      <c r="E453" s="107">
        <v>413360</v>
      </c>
      <c r="F453" s="107">
        <v>394610</v>
      </c>
      <c r="G453" s="107">
        <v>375860</v>
      </c>
      <c r="H453" s="107">
        <v>357110</v>
      </c>
      <c r="I453" s="107">
        <v>338360</v>
      </c>
      <c r="J453" s="107">
        <v>319610</v>
      </c>
      <c r="K453" s="107">
        <v>300860</v>
      </c>
      <c r="L453" s="107">
        <v>282110</v>
      </c>
      <c r="M453" s="107">
        <v>263360</v>
      </c>
    </row>
    <row r="454" spans="1:13" s="114" customFormat="1">
      <c r="A454" s="107">
        <v>6040</v>
      </c>
      <c r="B454" s="107">
        <v>6060</v>
      </c>
      <c r="C454" s="107">
        <v>559980</v>
      </c>
      <c r="D454" s="107">
        <v>512720</v>
      </c>
      <c r="E454" s="107">
        <v>416000</v>
      </c>
      <c r="F454" s="107">
        <v>397250</v>
      </c>
      <c r="G454" s="107">
        <v>378500</v>
      </c>
      <c r="H454" s="107">
        <v>359750</v>
      </c>
      <c r="I454" s="107">
        <v>341000</v>
      </c>
      <c r="J454" s="107">
        <v>322250</v>
      </c>
      <c r="K454" s="107">
        <v>303500</v>
      </c>
      <c r="L454" s="107">
        <v>284750</v>
      </c>
      <c r="M454" s="107">
        <v>266000</v>
      </c>
    </row>
    <row r="455" spans="1:13" s="114" customFormat="1">
      <c r="A455" s="107">
        <v>6060</v>
      </c>
      <c r="B455" s="107">
        <v>6080</v>
      </c>
      <c r="C455" s="107">
        <v>564510</v>
      </c>
      <c r="D455" s="107">
        <v>517230</v>
      </c>
      <c r="E455" s="107">
        <v>418640</v>
      </c>
      <c r="F455" s="107">
        <v>399890</v>
      </c>
      <c r="G455" s="107">
        <v>381140</v>
      </c>
      <c r="H455" s="107">
        <v>362390</v>
      </c>
      <c r="I455" s="107">
        <v>343640</v>
      </c>
      <c r="J455" s="107">
        <v>324890</v>
      </c>
      <c r="K455" s="107">
        <v>306140</v>
      </c>
      <c r="L455" s="107">
        <v>287390</v>
      </c>
      <c r="M455" s="107">
        <v>268640</v>
      </c>
    </row>
    <row r="456" spans="1:13" s="114" customFormat="1">
      <c r="A456" s="107">
        <v>6080</v>
      </c>
      <c r="B456" s="107">
        <v>6100</v>
      </c>
      <c r="C456" s="107">
        <v>569050</v>
      </c>
      <c r="D456" s="107">
        <v>521740</v>
      </c>
      <c r="E456" s="107">
        <v>421280</v>
      </c>
      <c r="F456" s="107">
        <v>402530</v>
      </c>
      <c r="G456" s="107">
        <v>383780</v>
      </c>
      <c r="H456" s="107">
        <v>365030</v>
      </c>
      <c r="I456" s="107">
        <v>346280</v>
      </c>
      <c r="J456" s="107">
        <v>327530</v>
      </c>
      <c r="K456" s="107">
        <v>308780</v>
      </c>
      <c r="L456" s="107">
        <v>290030</v>
      </c>
      <c r="M456" s="107">
        <v>271280</v>
      </c>
    </row>
    <row r="457" spans="1:13" s="114" customFormat="1">
      <c r="A457" s="107">
        <v>6100</v>
      </c>
      <c r="B457" s="107">
        <v>6120</v>
      </c>
      <c r="C457" s="107">
        <v>573580</v>
      </c>
      <c r="D457" s="107">
        <v>526250</v>
      </c>
      <c r="E457" s="107">
        <v>423920</v>
      </c>
      <c r="F457" s="107">
        <v>405170</v>
      </c>
      <c r="G457" s="107">
        <v>386420</v>
      </c>
      <c r="H457" s="107">
        <v>367670</v>
      </c>
      <c r="I457" s="107">
        <v>348920</v>
      </c>
      <c r="J457" s="107">
        <v>330170</v>
      </c>
      <c r="K457" s="107">
        <v>311420</v>
      </c>
      <c r="L457" s="107">
        <v>292670</v>
      </c>
      <c r="M457" s="107">
        <v>273920</v>
      </c>
    </row>
    <row r="458" spans="1:13" s="114" customFormat="1">
      <c r="A458" s="107">
        <v>6120</v>
      </c>
      <c r="B458" s="107">
        <v>6140</v>
      </c>
      <c r="C458" s="107">
        <v>578120</v>
      </c>
      <c r="D458" s="107">
        <v>530760</v>
      </c>
      <c r="E458" s="107">
        <v>426560</v>
      </c>
      <c r="F458" s="107">
        <v>407810</v>
      </c>
      <c r="G458" s="107">
        <v>389060</v>
      </c>
      <c r="H458" s="107">
        <v>370310</v>
      </c>
      <c r="I458" s="107">
        <v>351560</v>
      </c>
      <c r="J458" s="107">
        <v>332810</v>
      </c>
      <c r="K458" s="107">
        <v>314060</v>
      </c>
      <c r="L458" s="107">
        <v>295310</v>
      </c>
      <c r="M458" s="107">
        <v>276560</v>
      </c>
    </row>
    <row r="459" spans="1:13" s="114" customFormat="1">
      <c r="A459" s="107">
        <v>6140</v>
      </c>
      <c r="B459" s="107">
        <v>6160</v>
      </c>
      <c r="C459" s="107">
        <v>582660</v>
      </c>
      <c r="D459" s="107">
        <v>535280</v>
      </c>
      <c r="E459" s="107">
        <v>429200</v>
      </c>
      <c r="F459" s="107">
        <v>410450</v>
      </c>
      <c r="G459" s="107">
        <v>391700</v>
      </c>
      <c r="H459" s="107">
        <v>372950</v>
      </c>
      <c r="I459" s="107">
        <v>354200</v>
      </c>
      <c r="J459" s="107">
        <v>335450</v>
      </c>
      <c r="K459" s="107">
        <v>316700</v>
      </c>
      <c r="L459" s="107">
        <v>297950</v>
      </c>
      <c r="M459" s="107">
        <v>279200</v>
      </c>
    </row>
    <row r="460" spans="1:13" s="114" customFormat="1">
      <c r="A460" s="107">
        <v>6160</v>
      </c>
      <c r="B460" s="107">
        <v>6180</v>
      </c>
      <c r="C460" s="107">
        <v>587190</v>
      </c>
      <c r="D460" s="107">
        <v>539790</v>
      </c>
      <c r="E460" s="107">
        <v>431840</v>
      </c>
      <c r="F460" s="107">
        <v>413090</v>
      </c>
      <c r="G460" s="107">
        <v>394340</v>
      </c>
      <c r="H460" s="107">
        <v>375590</v>
      </c>
      <c r="I460" s="107">
        <v>356840</v>
      </c>
      <c r="J460" s="107">
        <v>338090</v>
      </c>
      <c r="K460" s="107">
        <v>319340</v>
      </c>
      <c r="L460" s="107">
        <v>300590</v>
      </c>
      <c r="M460" s="107">
        <v>281840</v>
      </c>
    </row>
    <row r="461" spans="1:13" s="114" customFormat="1">
      <c r="A461" s="107">
        <v>6180</v>
      </c>
      <c r="B461" s="107">
        <v>6200</v>
      </c>
      <c r="C461" s="107">
        <v>591730</v>
      </c>
      <c r="D461" s="107">
        <v>544300</v>
      </c>
      <c r="E461" s="107">
        <v>434480</v>
      </c>
      <c r="F461" s="107">
        <v>415730</v>
      </c>
      <c r="G461" s="107">
        <v>396980</v>
      </c>
      <c r="H461" s="107">
        <v>378230</v>
      </c>
      <c r="I461" s="107">
        <v>359480</v>
      </c>
      <c r="J461" s="107">
        <v>340730</v>
      </c>
      <c r="K461" s="107">
        <v>321980</v>
      </c>
      <c r="L461" s="107">
        <v>303230</v>
      </c>
      <c r="M461" s="107">
        <v>284480</v>
      </c>
    </row>
    <row r="462" spans="1:13" s="114" customFormat="1">
      <c r="A462" s="107">
        <v>6200</v>
      </c>
      <c r="B462" s="107">
        <v>6220</v>
      </c>
      <c r="C462" s="107">
        <v>596260</v>
      </c>
      <c r="D462" s="107">
        <v>548810</v>
      </c>
      <c r="E462" s="107">
        <v>437120</v>
      </c>
      <c r="F462" s="107">
        <v>418370</v>
      </c>
      <c r="G462" s="107">
        <v>399620</v>
      </c>
      <c r="H462" s="107">
        <v>380870</v>
      </c>
      <c r="I462" s="107">
        <v>362120</v>
      </c>
      <c r="J462" s="107">
        <v>343370</v>
      </c>
      <c r="K462" s="107">
        <v>324620</v>
      </c>
      <c r="L462" s="107">
        <v>305870</v>
      </c>
      <c r="M462" s="107">
        <v>287120</v>
      </c>
    </row>
    <row r="463" spans="1:13" s="114" customFormat="1">
      <c r="A463" s="107">
        <v>6220</v>
      </c>
      <c r="B463" s="107">
        <v>6240</v>
      </c>
      <c r="C463" s="107">
        <v>600800</v>
      </c>
      <c r="D463" s="107">
        <v>553320</v>
      </c>
      <c r="E463" s="107">
        <v>439760</v>
      </c>
      <c r="F463" s="107">
        <v>421010</v>
      </c>
      <c r="G463" s="107">
        <v>402260</v>
      </c>
      <c r="H463" s="107">
        <v>383510</v>
      </c>
      <c r="I463" s="107">
        <v>364760</v>
      </c>
      <c r="J463" s="107">
        <v>346010</v>
      </c>
      <c r="K463" s="107">
        <v>327260</v>
      </c>
      <c r="L463" s="107">
        <v>308510</v>
      </c>
      <c r="M463" s="107">
        <v>289760</v>
      </c>
    </row>
    <row r="464" spans="1:13" s="114" customFormat="1">
      <c r="A464" s="107">
        <v>6240</v>
      </c>
      <c r="B464" s="107">
        <v>6260</v>
      </c>
      <c r="C464" s="107">
        <v>605340</v>
      </c>
      <c r="D464" s="107">
        <v>557840</v>
      </c>
      <c r="E464" s="107">
        <v>442400</v>
      </c>
      <c r="F464" s="107">
        <v>423650</v>
      </c>
      <c r="G464" s="107">
        <v>404900</v>
      </c>
      <c r="H464" s="107">
        <v>386150</v>
      </c>
      <c r="I464" s="107">
        <v>367400</v>
      </c>
      <c r="J464" s="107">
        <v>348650</v>
      </c>
      <c r="K464" s="107">
        <v>329900</v>
      </c>
      <c r="L464" s="107">
        <v>311150</v>
      </c>
      <c r="M464" s="107">
        <v>292400</v>
      </c>
    </row>
    <row r="465" spans="1:13" s="114" customFormat="1">
      <c r="A465" s="107">
        <v>6260</v>
      </c>
      <c r="B465" s="107">
        <v>6280</v>
      </c>
      <c r="C465" s="107">
        <v>609870</v>
      </c>
      <c r="D465" s="107">
        <v>562350</v>
      </c>
      <c r="E465" s="107">
        <v>446060</v>
      </c>
      <c r="F465" s="107">
        <v>426290</v>
      </c>
      <c r="G465" s="107">
        <v>407540</v>
      </c>
      <c r="H465" s="107">
        <v>388790</v>
      </c>
      <c r="I465" s="107">
        <v>370040</v>
      </c>
      <c r="J465" s="107">
        <v>351290</v>
      </c>
      <c r="K465" s="107">
        <v>332540</v>
      </c>
      <c r="L465" s="107">
        <v>313790</v>
      </c>
      <c r="M465" s="107">
        <v>295040</v>
      </c>
    </row>
    <row r="466" spans="1:13" s="114" customFormat="1">
      <c r="A466" s="107">
        <v>6280</v>
      </c>
      <c r="B466" s="107">
        <v>6300</v>
      </c>
      <c r="C466" s="107">
        <v>614410</v>
      </c>
      <c r="D466" s="107">
        <v>566860</v>
      </c>
      <c r="E466" s="107">
        <v>450280</v>
      </c>
      <c r="F466" s="107">
        <v>428930</v>
      </c>
      <c r="G466" s="107">
        <v>410180</v>
      </c>
      <c r="H466" s="107">
        <v>391430</v>
      </c>
      <c r="I466" s="107">
        <v>372680</v>
      </c>
      <c r="J466" s="107">
        <v>353930</v>
      </c>
      <c r="K466" s="107">
        <v>335180</v>
      </c>
      <c r="L466" s="107">
        <v>316430</v>
      </c>
      <c r="M466" s="107">
        <v>297680</v>
      </c>
    </row>
    <row r="467" spans="1:13" s="114" customFormat="1">
      <c r="A467" s="107">
        <v>6300</v>
      </c>
      <c r="B467" s="107">
        <v>6320</v>
      </c>
      <c r="C467" s="107">
        <v>618940</v>
      </c>
      <c r="D467" s="107">
        <v>571370</v>
      </c>
      <c r="E467" s="107">
        <v>454510</v>
      </c>
      <c r="F467" s="107">
        <v>431570</v>
      </c>
      <c r="G467" s="107">
        <v>412820</v>
      </c>
      <c r="H467" s="107">
        <v>394070</v>
      </c>
      <c r="I467" s="107">
        <v>375320</v>
      </c>
      <c r="J467" s="107">
        <v>356570</v>
      </c>
      <c r="K467" s="107">
        <v>337820</v>
      </c>
      <c r="L467" s="107">
        <v>319070</v>
      </c>
      <c r="M467" s="107">
        <v>300320</v>
      </c>
    </row>
    <row r="468" spans="1:13" s="114" customFormat="1">
      <c r="A468" s="107">
        <v>6320</v>
      </c>
      <c r="B468" s="107">
        <v>6340</v>
      </c>
      <c r="C468" s="107">
        <v>623480</v>
      </c>
      <c r="D468" s="107">
        <v>575880</v>
      </c>
      <c r="E468" s="107">
        <v>458730</v>
      </c>
      <c r="F468" s="107">
        <v>434210</v>
      </c>
      <c r="G468" s="107">
        <v>415460</v>
      </c>
      <c r="H468" s="107">
        <v>396710</v>
      </c>
      <c r="I468" s="107">
        <v>377960</v>
      </c>
      <c r="J468" s="107">
        <v>359210</v>
      </c>
      <c r="K468" s="107">
        <v>340460</v>
      </c>
      <c r="L468" s="107">
        <v>321710</v>
      </c>
      <c r="M468" s="107">
        <v>302960</v>
      </c>
    </row>
    <row r="469" spans="1:13" s="114" customFormat="1">
      <c r="A469" s="107">
        <v>6340</v>
      </c>
      <c r="B469" s="107">
        <v>6360</v>
      </c>
      <c r="C469" s="107">
        <v>628020</v>
      </c>
      <c r="D469" s="107">
        <v>580400</v>
      </c>
      <c r="E469" s="107">
        <v>462960</v>
      </c>
      <c r="F469" s="107">
        <v>436850</v>
      </c>
      <c r="G469" s="107">
        <v>418100</v>
      </c>
      <c r="H469" s="107">
        <v>399350</v>
      </c>
      <c r="I469" s="107">
        <v>380600</v>
      </c>
      <c r="J469" s="107">
        <v>361850</v>
      </c>
      <c r="K469" s="107">
        <v>343100</v>
      </c>
      <c r="L469" s="107">
        <v>324350</v>
      </c>
      <c r="M469" s="107">
        <v>305600</v>
      </c>
    </row>
    <row r="470" spans="1:13" s="114" customFormat="1">
      <c r="A470" s="107">
        <v>6360</v>
      </c>
      <c r="B470" s="107">
        <v>6380</v>
      </c>
      <c r="C470" s="107">
        <v>632550</v>
      </c>
      <c r="D470" s="107">
        <v>584910</v>
      </c>
      <c r="E470" s="107">
        <v>467180</v>
      </c>
      <c r="F470" s="107">
        <v>439490</v>
      </c>
      <c r="G470" s="107">
        <v>420740</v>
      </c>
      <c r="H470" s="107">
        <v>401990</v>
      </c>
      <c r="I470" s="107">
        <v>383240</v>
      </c>
      <c r="J470" s="107">
        <v>364490</v>
      </c>
      <c r="K470" s="107">
        <v>345740</v>
      </c>
      <c r="L470" s="107">
        <v>326990</v>
      </c>
      <c r="M470" s="107">
        <v>308240</v>
      </c>
    </row>
    <row r="471" spans="1:13" s="114" customFormat="1">
      <c r="A471" s="107">
        <v>6380</v>
      </c>
      <c r="B471" s="107">
        <v>6400</v>
      </c>
      <c r="C471" s="107">
        <v>637090</v>
      </c>
      <c r="D471" s="107">
        <v>589420</v>
      </c>
      <c r="E471" s="107">
        <v>471400</v>
      </c>
      <c r="F471" s="107">
        <v>442130</v>
      </c>
      <c r="G471" s="107">
        <v>423380</v>
      </c>
      <c r="H471" s="107">
        <v>404630</v>
      </c>
      <c r="I471" s="107">
        <v>385880</v>
      </c>
      <c r="J471" s="107">
        <v>367130</v>
      </c>
      <c r="K471" s="107">
        <v>348380</v>
      </c>
      <c r="L471" s="107">
        <v>329630</v>
      </c>
      <c r="M471" s="107">
        <v>310880</v>
      </c>
    </row>
    <row r="472" spans="1:13" s="114" customFormat="1">
      <c r="A472" s="107">
        <v>6400</v>
      </c>
      <c r="B472" s="107">
        <v>6420</v>
      </c>
      <c r="C472" s="107">
        <v>641620</v>
      </c>
      <c r="D472" s="107">
        <v>593930</v>
      </c>
      <c r="E472" s="107">
        <v>475630</v>
      </c>
      <c r="F472" s="107">
        <v>445630</v>
      </c>
      <c r="G472" s="107">
        <v>426020</v>
      </c>
      <c r="H472" s="107">
        <v>407270</v>
      </c>
      <c r="I472" s="107">
        <v>388520</v>
      </c>
      <c r="J472" s="107">
        <v>369770</v>
      </c>
      <c r="K472" s="107">
        <v>351020</v>
      </c>
      <c r="L472" s="107">
        <v>332270</v>
      </c>
      <c r="M472" s="107">
        <v>313520</v>
      </c>
    </row>
    <row r="473" spans="1:13" s="114" customFormat="1">
      <c r="A473" s="107">
        <v>6420</v>
      </c>
      <c r="B473" s="107">
        <v>6440</v>
      </c>
      <c r="C473" s="107">
        <v>646160</v>
      </c>
      <c r="D473" s="107">
        <v>598440</v>
      </c>
      <c r="E473" s="107">
        <v>479850</v>
      </c>
      <c r="F473" s="107">
        <v>449850</v>
      </c>
      <c r="G473" s="107">
        <v>428660</v>
      </c>
      <c r="H473" s="107">
        <v>409910</v>
      </c>
      <c r="I473" s="107">
        <v>391160</v>
      </c>
      <c r="J473" s="107">
        <v>372410</v>
      </c>
      <c r="K473" s="107">
        <v>353660</v>
      </c>
      <c r="L473" s="107">
        <v>334910</v>
      </c>
      <c r="M473" s="107">
        <v>316160</v>
      </c>
    </row>
    <row r="474" spans="1:13" s="114" customFormat="1">
      <c r="A474" s="107">
        <v>6440</v>
      </c>
      <c r="B474" s="107">
        <v>6460</v>
      </c>
      <c r="C474" s="107">
        <v>650700</v>
      </c>
      <c r="D474" s="107">
        <v>602960</v>
      </c>
      <c r="E474" s="107">
        <v>484080</v>
      </c>
      <c r="F474" s="107">
        <v>454080</v>
      </c>
      <c r="G474" s="107">
        <v>431300</v>
      </c>
      <c r="H474" s="107">
        <v>412550</v>
      </c>
      <c r="I474" s="107">
        <v>393800</v>
      </c>
      <c r="J474" s="107">
        <v>375050</v>
      </c>
      <c r="K474" s="107">
        <v>356300</v>
      </c>
      <c r="L474" s="107">
        <v>337550</v>
      </c>
      <c r="M474" s="107">
        <v>318800</v>
      </c>
    </row>
    <row r="475" spans="1:13" s="114" customFormat="1">
      <c r="A475" s="107">
        <v>6460</v>
      </c>
      <c r="B475" s="107">
        <v>6480</v>
      </c>
      <c r="C475" s="107">
        <v>655230</v>
      </c>
      <c r="D475" s="107">
        <v>607470</v>
      </c>
      <c r="E475" s="107">
        <v>488300</v>
      </c>
      <c r="F475" s="107">
        <v>458300</v>
      </c>
      <c r="G475" s="107">
        <v>433940</v>
      </c>
      <c r="H475" s="107">
        <v>415190</v>
      </c>
      <c r="I475" s="107">
        <v>396440</v>
      </c>
      <c r="J475" s="107">
        <v>377690</v>
      </c>
      <c r="K475" s="107">
        <v>358940</v>
      </c>
      <c r="L475" s="107">
        <v>340190</v>
      </c>
      <c r="M475" s="107">
        <v>321440</v>
      </c>
    </row>
    <row r="476" spans="1:13" s="114" customFormat="1">
      <c r="A476" s="107">
        <v>6480</v>
      </c>
      <c r="B476" s="107">
        <v>6500</v>
      </c>
      <c r="C476" s="107">
        <v>659770</v>
      </c>
      <c r="D476" s="107">
        <v>611980</v>
      </c>
      <c r="E476" s="107">
        <v>492520</v>
      </c>
      <c r="F476" s="107">
        <v>462520</v>
      </c>
      <c r="G476" s="107">
        <v>436580</v>
      </c>
      <c r="H476" s="107">
        <v>417830</v>
      </c>
      <c r="I476" s="107">
        <v>399080</v>
      </c>
      <c r="J476" s="107">
        <v>380330</v>
      </c>
      <c r="K476" s="107">
        <v>361580</v>
      </c>
      <c r="L476" s="107">
        <v>342830</v>
      </c>
      <c r="M476" s="107">
        <v>324080</v>
      </c>
    </row>
    <row r="477" spans="1:13" s="114" customFormat="1">
      <c r="A477" s="107">
        <v>6500</v>
      </c>
      <c r="B477" s="107">
        <v>6520</v>
      </c>
      <c r="C477" s="107">
        <v>664300</v>
      </c>
      <c r="D477" s="107">
        <v>616490</v>
      </c>
      <c r="E477" s="107">
        <v>496750</v>
      </c>
      <c r="F477" s="107">
        <v>466750</v>
      </c>
      <c r="G477" s="107">
        <v>439220</v>
      </c>
      <c r="H477" s="107">
        <v>420470</v>
      </c>
      <c r="I477" s="107">
        <v>401720</v>
      </c>
      <c r="J477" s="107">
        <v>382970</v>
      </c>
      <c r="K477" s="107">
        <v>364220</v>
      </c>
      <c r="L477" s="107">
        <v>345470</v>
      </c>
      <c r="M477" s="107">
        <v>326720</v>
      </c>
    </row>
    <row r="478" spans="1:13" s="114" customFormat="1">
      <c r="A478" s="107">
        <v>6520</v>
      </c>
      <c r="B478" s="107">
        <v>6540</v>
      </c>
      <c r="C478" s="107">
        <v>668840</v>
      </c>
      <c r="D478" s="107">
        <v>621000</v>
      </c>
      <c r="E478" s="107">
        <v>500970</v>
      </c>
      <c r="F478" s="107">
        <v>470970</v>
      </c>
      <c r="G478" s="107">
        <v>441860</v>
      </c>
      <c r="H478" s="107">
        <v>423110</v>
      </c>
      <c r="I478" s="107">
        <v>404360</v>
      </c>
      <c r="J478" s="107">
        <v>385610</v>
      </c>
      <c r="K478" s="107">
        <v>366860</v>
      </c>
      <c r="L478" s="107">
        <v>348110</v>
      </c>
      <c r="M478" s="107">
        <v>329360</v>
      </c>
    </row>
    <row r="479" spans="1:13" s="114" customFormat="1">
      <c r="A479" s="107">
        <v>6540</v>
      </c>
      <c r="B479" s="107">
        <v>6560</v>
      </c>
      <c r="C479" s="107">
        <v>673380</v>
      </c>
      <c r="D479" s="107">
        <v>625520</v>
      </c>
      <c r="E479" s="107">
        <v>505200</v>
      </c>
      <c r="F479" s="107">
        <v>475200</v>
      </c>
      <c r="G479" s="107">
        <v>445200</v>
      </c>
      <c r="H479" s="107">
        <v>425750</v>
      </c>
      <c r="I479" s="107">
        <v>407000</v>
      </c>
      <c r="J479" s="107">
        <v>388250</v>
      </c>
      <c r="K479" s="107">
        <v>369500</v>
      </c>
      <c r="L479" s="107">
        <v>350750</v>
      </c>
      <c r="M479" s="107">
        <v>332000</v>
      </c>
    </row>
    <row r="480" spans="1:13" s="114" customFormat="1">
      <c r="A480" s="107">
        <v>6560</v>
      </c>
      <c r="B480" s="107">
        <v>6580</v>
      </c>
      <c r="C480" s="107">
        <v>677910</v>
      </c>
      <c r="D480" s="107">
        <v>630030</v>
      </c>
      <c r="E480" s="107">
        <v>509420</v>
      </c>
      <c r="F480" s="107">
        <v>479420</v>
      </c>
      <c r="G480" s="107">
        <v>449420</v>
      </c>
      <c r="H480" s="107">
        <v>428390</v>
      </c>
      <c r="I480" s="107">
        <v>409640</v>
      </c>
      <c r="J480" s="107">
        <v>390890</v>
      </c>
      <c r="K480" s="107">
        <v>372140</v>
      </c>
      <c r="L480" s="107">
        <v>353390</v>
      </c>
      <c r="M480" s="107">
        <v>334640</v>
      </c>
    </row>
    <row r="481" spans="1:13" s="114" customFormat="1">
      <c r="A481" s="107">
        <v>6580</v>
      </c>
      <c r="B481" s="107">
        <v>6600</v>
      </c>
      <c r="C481" s="107">
        <v>682450</v>
      </c>
      <c r="D481" s="107">
        <v>634540</v>
      </c>
      <c r="E481" s="107">
        <v>513640</v>
      </c>
      <c r="F481" s="107">
        <v>483640</v>
      </c>
      <c r="G481" s="107">
        <v>453640</v>
      </c>
      <c r="H481" s="107">
        <v>431030</v>
      </c>
      <c r="I481" s="107">
        <v>412280</v>
      </c>
      <c r="J481" s="107">
        <v>393530</v>
      </c>
      <c r="K481" s="107">
        <v>374780</v>
      </c>
      <c r="L481" s="107">
        <v>356030</v>
      </c>
      <c r="M481" s="107">
        <v>337280</v>
      </c>
    </row>
    <row r="482" spans="1:13" s="114" customFormat="1">
      <c r="A482" s="107">
        <v>6600</v>
      </c>
      <c r="B482" s="107">
        <v>6620</v>
      </c>
      <c r="C482" s="107">
        <v>686980</v>
      </c>
      <c r="D482" s="107">
        <v>639050</v>
      </c>
      <c r="E482" s="107">
        <v>517870</v>
      </c>
      <c r="F482" s="107">
        <v>487870</v>
      </c>
      <c r="G482" s="107">
        <v>457870</v>
      </c>
      <c r="H482" s="107">
        <v>433670</v>
      </c>
      <c r="I482" s="107">
        <v>414920</v>
      </c>
      <c r="J482" s="107">
        <v>396170</v>
      </c>
      <c r="K482" s="107">
        <v>377420</v>
      </c>
      <c r="L482" s="107">
        <v>358670</v>
      </c>
      <c r="M482" s="107">
        <v>339920</v>
      </c>
    </row>
    <row r="483" spans="1:13" s="114" customFormat="1">
      <c r="A483" s="107">
        <v>6620</v>
      </c>
      <c r="B483" s="107">
        <v>6640</v>
      </c>
      <c r="C483" s="107">
        <v>691520</v>
      </c>
      <c r="D483" s="107">
        <v>643560</v>
      </c>
      <c r="E483" s="107">
        <v>522090</v>
      </c>
      <c r="F483" s="107">
        <v>492090</v>
      </c>
      <c r="G483" s="107">
        <v>462090</v>
      </c>
      <c r="H483" s="107">
        <v>436310</v>
      </c>
      <c r="I483" s="107">
        <v>417560</v>
      </c>
      <c r="J483" s="107">
        <v>398810</v>
      </c>
      <c r="K483" s="107">
        <v>380060</v>
      </c>
      <c r="L483" s="107">
        <v>361310</v>
      </c>
      <c r="M483" s="107">
        <v>342560</v>
      </c>
    </row>
    <row r="484" spans="1:13" s="114" customFormat="1">
      <c r="A484" s="107">
        <v>6640</v>
      </c>
      <c r="B484" s="107">
        <v>6660</v>
      </c>
      <c r="C484" s="107">
        <v>696060</v>
      </c>
      <c r="D484" s="107">
        <v>648080</v>
      </c>
      <c r="E484" s="107">
        <v>526320</v>
      </c>
      <c r="F484" s="107">
        <v>496320</v>
      </c>
      <c r="G484" s="107">
        <v>466320</v>
      </c>
      <c r="H484" s="107">
        <v>438950</v>
      </c>
      <c r="I484" s="107">
        <v>420200</v>
      </c>
      <c r="J484" s="107">
        <v>401450</v>
      </c>
      <c r="K484" s="107">
        <v>382700</v>
      </c>
      <c r="L484" s="107">
        <v>363950</v>
      </c>
      <c r="M484" s="107">
        <v>345200</v>
      </c>
    </row>
    <row r="485" spans="1:13" s="114" customFormat="1">
      <c r="A485" s="107">
        <v>6660</v>
      </c>
      <c r="B485" s="107">
        <v>6680</v>
      </c>
      <c r="C485" s="107">
        <v>700590</v>
      </c>
      <c r="D485" s="107">
        <v>652590</v>
      </c>
      <c r="E485" s="107">
        <v>530540</v>
      </c>
      <c r="F485" s="107">
        <v>500540</v>
      </c>
      <c r="G485" s="107">
        <v>470540</v>
      </c>
      <c r="H485" s="107">
        <v>441590</v>
      </c>
      <c r="I485" s="107">
        <v>422840</v>
      </c>
      <c r="J485" s="107">
        <v>404090</v>
      </c>
      <c r="K485" s="107">
        <v>385340</v>
      </c>
      <c r="L485" s="107">
        <v>366590</v>
      </c>
      <c r="M485" s="107">
        <v>347840</v>
      </c>
    </row>
    <row r="486" spans="1:13" s="114" customFormat="1">
      <c r="A486" s="107">
        <v>6680</v>
      </c>
      <c r="B486" s="107">
        <v>6700</v>
      </c>
      <c r="C486" s="107">
        <v>705130</v>
      </c>
      <c r="D486" s="107">
        <v>657100</v>
      </c>
      <c r="E486" s="107">
        <v>534760</v>
      </c>
      <c r="F486" s="107">
        <v>504760</v>
      </c>
      <c r="G486" s="107">
        <v>474760</v>
      </c>
      <c r="H486" s="107">
        <v>444760</v>
      </c>
      <c r="I486" s="107">
        <v>425480</v>
      </c>
      <c r="J486" s="107">
        <v>406730</v>
      </c>
      <c r="K486" s="107">
        <v>387980</v>
      </c>
      <c r="L486" s="107">
        <v>369230</v>
      </c>
      <c r="M486" s="107">
        <v>350480</v>
      </c>
    </row>
    <row r="487" spans="1:13" s="114" customFormat="1">
      <c r="A487" s="107">
        <v>6700</v>
      </c>
      <c r="B487" s="107">
        <v>6720</v>
      </c>
      <c r="C487" s="107">
        <v>709660</v>
      </c>
      <c r="D487" s="107">
        <v>661610</v>
      </c>
      <c r="E487" s="107">
        <v>538990</v>
      </c>
      <c r="F487" s="107">
        <v>508990</v>
      </c>
      <c r="G487" s="107">
        <v>478990</v>
      </c>
      <c r="H487" s="107">
        <v>448990</v>
      </c>
      <c r="I487" s="107">
        <v>428120</v>
      </c>
      <c r="J487" s="107">
        <v>409370</v>
      </c>
      <c r="K487" s="107">
        <v>390620</v>
      </c>
      <c r="L487" s="107">
        <v>371870</v>
      </c>
      <c r="M487" s="107">
        <v>353120</v>
      </c>
    </row>
    <row r="488" spans="1:13" s="114" customFormat="1">
      <c r="A488" s="107">
        <v>6720</v>
      </c>
      <c r="B488" s="107">
        <v>6740</v>
      </c>
      <c r="C488" s="107">
        <v>714200</v>
      </c>
      <c r="D488" s="107">
        <v>666120</v>
      </c>
      <c r="E488" s="107">
        <v>543210</v>
      </c>
      <c r="F488" s="107">
        <v>513210</v>
      </c>
      <c r="G488" s="107">
        <v>483210</v>
      </c>
      <c r="H488" s="107">
        <v>453210</v>
      </c>
      <c r="I488" s="107">
        <v>430760</v>
      </c>
      <c r="J488" s="107">
        <v>412010</v>
      </c>
      <c r="K488" s="107">
        <v>393260</v>
      </c>
      <c r="L488" s="107">
        <v>374510</v>
      </c>
      <c r="M488" s="107">
        <v>355760</v>
      </c>
    </row>
    <row r="489" spans="1:13" s="114" customFormat="1">
      <c r="A489" s="107">
        <v>6740</v>
      </c>
      <c r="B489" s="107">
        <v>6760</v>
      </c>
      <c r="C489" s="107">
        <v>718740</v>
      </c>
      <c r="D489" s="107">
        <v>670640</v>
      </c>
      <c r="E489" s="107">
        <v>547440</v>
      </c>
      <c r="F489" s="107">
        <v>517440</v>
      </c>
      <c r="G489" s="107">
        <v>487440</v>
      </c>
      <c r="H489" s="107">
        <v>457440</v>
      </c>
      <c r="I489" s="107">
        <v>433400</v>
      </c>
      <c r="J489" s="107">
        <v>414650</v>
      </c>
      <c r="K489" s="107">
        <v>395900</v>
      </c>
      <c r="L489" s="107">
        <v>377150</v>
      </c>
      <c r="M489" s="107">
        <v>358400</v>
      </c>
    </row>
    <row r="490" spans="1:13" s="114" customFormat="1">
      <c r="A490" s="107">
        <v>6760</v>
      </c>
      <c r="B490" s="107">
        <v>6780</v>
      </c>
      <c r="C490" s="107">
        <v>723270</v>
      </c>
      <c r="D490" s="107">
        <v>675150</v>
      </c>
      <c r="E490" s="107">
        <v>551660</v>
      </c>
      <c r="F490" s="107">
        <v>521660</v>
      </c>
      <c r="G490" s="107">
        <v>491660</v>
      </c>
      <c r="H490" s="107">
        <v>461660</v>
      </c>
      <c r="I490" s="107">
        <v>436040</v>
      </c>
      <c r="J490" s="107">
        <v>417290</v>
      </c>
      <c r="K490" s="107">
        <v>398540</v>
      </c>
      <c r="L490" s="107">
        <v>379790</v>
      </c>
      <c r="M490" s="107">
        <v>361040</v>
      </c>
    </row>
    <row r="491" spans="1:13" s="114" customFormat="1">
      <c r="A491" s="107">
        <v>6780</v>
      </c>
      <c r="B491" s="107">
        <v>6800</v>
      </c>
      <c r="C491" s="107">
        <v>727810</v>
      </c>
      <c r="D491" s="107">
        <v>679660</v>
      </c>
      <c r="E491" s="107">
        <v>555880</v>
      </c>
      <c r="F491" s="107">
        <v>525880</v>
      </c>
      <c r="G491" s="107">
        <v>495880</v>
      </c>
      <c r="H491" s="107">
        <v>465880</v>
      </c>
      <c r="I491" s="107">
        <v>438680</v>
      </c>
      <c r="J491" s="107">
        <v>419930</v>
      </c>
      <c r="K491" s="107">
        <v>401180</v>
      </c>
      <c r="L491" s="107">
        <v>382430</v>
      </c>
      <c r="M491" s="107">
        <v>363680</v>
      </c>
    </row>
    <row r="492" spans="1:13" s="114" customFormat="1">
      <c r="A492" s="107">
        <v>6800</v>
      </c>
      <c r="B492" s="107">
        <v>6820</v>
      </c>
      <c r="C492" s="107">
        <v>732340</v>
      </c>
      <c r="D492" s="107">
        <v>684170</v>
      </c>
      <c r="E492" s="107">
        <v>560110</v>
      </c>
      <c r="F492" s="107">
        <v>530110</v>
      </c>
      <c r="G492" s="107">
        <v>500110</v>
      </c>
      <c r="H492" s="107">
        <v>470110</v>
      </c>
      <c r="I492" s="107">
        <v>441320</v>
      </c>
      <c r="J492" s="107">
        <v>422570</v>
      </c>
      <c r="K492" s="107">
        <v>403820</v>
      </c>
      <c r="L492" s="107">
        <v>385070</v>
      </c>
      <c r="M492" s="107">
        <v>366320</v>
      </c>
    </row>
    <row r="493" spans="1:13" s="114" customFormat="1">
      <c r="A493" s="107">
        <v>6820</v>
      </c>
      <c r="B493" s="107">
        <v>6840</v>
      </c>
      <c r="C493" s="107">
        <v>736880</v>
      </c>
      <c r="D493" s="107">
        <v>688680</v>
      </c>
      <c r="E493" s="107">
        <v>564330</v>
      </c>
      <c r="F493" s="107">
        <v>534330</v>
      </c>
      <c r="G493" s="107">
        <v>504330</v>
      </c>
      <c r="H493" s="107">
        <v>474330</v>
      </c>
      <c r="I493" s="107">
        <v>444330</v>
      </c>
      <c r="J493" s="107">
        <v>425210</v>
      </c>
      <c r="K493" s="107">
        <v>406460</v>
      </c>
      <c r="L493" s="107">
        <v>387710</v>
      </c>
      <c r="M493" s="107">
        <v>368960</v>
      </c>
    </row>
    <row r="494" spans="1:13" s="114" customFormat="1">
      <c r="A494" s="107">
        <v>6840</v>
      </c>
      <c r="B494" s="107">
        <v>6860</v>
      </c>
      <c r="C494" s="107">
        <v>741420</v>
      </c>
      <c r="D494" s="107">
        <v>693200</v>
      </c>
      <c r="E494" s="107">
        <v>568560</v>
      </c>
      <c r="F494" s="107">
        <v>538560</v>
      </c>
      <c r="G494" s="107">
        <v>508560</v>
      </c>
      <c r="H494" s="107">
        <v>478560</v>
      </c>
      <c r="I494" s="107">
        <v>448560</v>
      </c>
      <c r="J494" s="107">
        <v>427850</v>
      </c>
      <c r="K494" s="107">
        <v>409100</v>
      </c>
      <c r="L494" s="107">
        <v>390350</v>
      </c>
      <c r="M494" s="107">
        <v>371600</v>
      </c>
    </row>
    <row r="495" spans="1:13" s="114" customFormat="1">
      <c r="A495" s="107">
        <v>6860</v>
      </c>
      <c r="B495" s="107">
        <v>6880</v>
      </c>
      <c r="C495" s="107">
        <v>745950</v>
      </c>
      <c r="D495" s="107">
        <v>697710</v>
      </c>
      <c r="E495" s="107">
        <v>572780</v>
      </c>
      <c r="F495" s="107">
        <v>542780</v>
      </c>
      <c r="G495" s="107">
        <v>512780</v>
      </c>
      <c r="H495" s="107">
        <v>482780</v>
      </c>
      <c r="I495" s="107">
        <v>452780</v>
      </c>
      <c r="J495" s="107">
        <v>430490</v>
      </c>
      <c r="K495" s="107">
        <v>411740</v>
      </c>
      <c r="L495" s="107">
        <v>392990</v>
      </c>
      <c r="M495" s="107">
        <v>374240</v>
      </c>
    </row>
    <row r="496" spans="1:13" s="114" customFormat="1">
      <c r="A496" s="107">
        <v>6880</v>
      </c>
      <c r="B496" s="107">
        <v>6900</v>
      </c>
      <c r="C496" s="107">
        <v>750490</v>
      </c>
      <c r="D496" s="107">
        <v>702220</v>
      </c>
      <c r="E496" s="107">
        <v>577000</v>
      </c>
      <c r="F496" s="107">
        <v>547000</v>
      </c>
      <c r="G496" s="107">
        <v>517000</v>
      </c>
      <c r="H496" s="107">
        <v>487000</v>
      </c>
      <c r="I496" s="107">
        <v>457000</v>
      </c>
      <c r="J496" s="107">
        <v>433130</v>
      </c>
      <c r="K496" s="107">
        <v>414380</v>
      </c>
      <c r="L496" s="107">
        <v>395630</v>
      </c>
      <c r="M496" s="107">
        <v>376880</v>
      </c>
    </row>
    <row r="497" spans="1:13" s="114" customFormat="1">
      <c r="A497" s="107">
        <v>6900</v>
      </c>
      <c r="B497" s="107">
        <v>6920</v>
      </c>
      <c r="C497" s="107">
        <v>755020</v>
      </c>
      <c r="D497" s="107">
        <v>706730</v>
      </c>
      <c r="E497" s="107">
        <v>581230</v>
      </c>
      <c r="F497" s="107">
        <v>551230</v>
      </c>
      <c r="G497" s="107">
        <v>521230</v>
      </c>
      <c r="H497" s="107">
        <v>491230</v>
      </c>
      <c r="I497" s="107">
        <v>461230</v>
      </c>
      <c r="J497" s="107">
        <v>435770</v>
      </c>
      <c r="K497" s="107">
        <v>417020</v>
      </c>
      <c r="L497" s="107">
        <v>398270</v>
      </c>
      <c r="M497" s="107">
        <v>379520</v>
      </c>
    </row>
    <row r="498" spans="1:13" s="114" customFormat="1">
      <c r="A498" s="107">
        <v>6920</v>
      </c>
      <c r="B498" s="107">
        <v>6940</v>
      </c>
      <c r="C498" s="107">
        <v>759560</v>
      </c>
      <c r="D498" s="107">
        <v>711240</v>
      </c>
      <c r="E498" s="107">
        <v>585450</v>
      </c>
      <c r="F498" s="107">
        <v>555450</v>
      </c>
      <c r="G498" s="107">
        <v>525450</v>
      </c>
      <c r="H498" s="107">
        <v>495450</v>
      </c>
      <c r="I498" s="107">
        <v>465450</v>
      </c>
      <c r="J498" s="107">
        <v>438410</v>
      </c>
      <c r="K498" s="107">
        <v>419660</v>
      </c>
      <c r="L498" s="107">
        <v>400910</v>
      </c>
      <c r="M498" s="107">
        <v>382160</v>
      </c>
    </row>
    <row r="499" spans="1:13" s="114" customFormat="1">
      <c r="A499" s="107">
        <v>6940</v>
      </c>
      <c r="B499" s="107">
        <v>6960</v>
      </c>
      <c r="C499" s="107">
        <v>764100</v>
      </c>
      <c r="D499" s="107">
        <v>715760</v>
      </c>
      <c r="E499" s="107">
        <v>589680</v>
      </c>
      <c r="F499" s="107">
        <v>559680</v>
      </c>
      <c r="G499" s="107">
        <v>529680</v>
      </c>
      <c r="H499" s="107">
        <v>499680</v>
      </c>
      <c r="I499" s="107">
        <v>469680</v>
      </c>
      <c r="J499" s="107">
        <v>441050</v>
      </c>
      <c r="K499" s="107">
        <v>422300</v>
      </c>
      <c r="L499" s="107">
        <v>403550</v>
      </c>
      <c r="M499" s="107">
        <v>384800</v>
      </c>
    </row>
    <row r="500" spans="1:13" s="114" customFormat="1">
      <c r="A500" s="107">
        <v>6960</v>
      </c>
      <c r="B500" s="107">
        <v>6980</v>
      </c>
      <c r="C500" s="107">
        <v>768630</v>
      </c>
      <c r="D500" s="107">
        <v>720270</v>
      </c>
      <c r="E500" s="107">
        <v>593900</v>
      </c>
      <c r="F500" s="107">
        <v>563900</v>
      </c>
      <c r="G500" s="107">
        <v>533900</v>
      </c>
      <c r="H500" s="107">
        <v>503900</v>
      </c>
      <c r="I500" s="107">
        <v>473900</v>
      </c>
      <c r="J500" s="107">
        <v>443900</v>
      </c>
      <c r="K500" s="107">
        <v>424940</v>
      </c>
      <c r="L500" s="107">
        <v>406190</v>
      </c>
      <c r="M500" s="107">
        <v>387440</v>
      </c>
    </row>
    <row r="501" spans="1:13" s="114" customFormat="1">
      <c r="A501" s="107">
        <v>6980</v>
      </c>
      <c r="B501" s="107">
        <v>7000</v>
      </c>
      <c r="C501" s="107">
        <v>773170</v>
      </c>
      <c r="D501" s="107">
        <v>724780</v>
      </c>
      <c r="E501" s="107">
        <v>598120</v>
      </c>
      <c r="F501" s="107">
        <v>568120</v>
      </c>
      <c r="G501" s="107">
        <v>538120</v>
      </c>
      <c r="H501" s="107">
        <v>508120</v>
      </c>
      <c r="I501" s="107">
        <v>478120</v>
      </c>
      <c r="J501" s="107">
        <v>448120</v>
      </c>
      <c r="K501" s="107">
        <v>427580</v>
      </c>
      <c r="L501" s="107">
        <v>408830</v>
      </c>
      <c r="M501" s="107">
        <v>390080</v>
      </c>
    </row>
    <row r="502" spans="1:13" s="114" customFormat="1">
      <c r="A502" s="107">
        <v>7000</v>
      </c>
      <c r="B502" s="107">
        <v>7020</v>
      </c>
      <c r="C502" s="107">
        <v>777700</v>
      </c>
      <c r="D502" s="107">
        <v>729290</v>
      </c>
      <c r="E502" s="107">
        <v>602350</v>
      </c>
      <c r="F502" s="107">
        <v>572350</v>
      </c>
      <c r="G502" s="107">
        <v>542350</v>
      </c>
      <c r="H502" s="107">
        <v>512350</v>
      </c>
      <c r="I502" s="107">
        <v>482350</v>
      </c>
      <c r="J502" s="107">
        <v>452350</v>
      </c>
      <c r="K502" s="107">
        <v>430220</v>
      </c>
      <c r="L502" s="107">
        <v>411470</v>
      </c>
      <c r="M502" s="107">
        <v>392720</v>
      </c>
    </row>
    <row r="503" spans="1:13" s="114" customFormat="1">
      <c r="A503" s="107">
        <v>7020</v>
      </c>
      <c r="B503" s="107">
        <v>7040</v>
      </c>
      <c r="C503" s="107">
        <v>782240</v>
      </c>
      <c r="D503" s="107">
        <v>733800</v>
      </c>
      <c r="E503" s="107">
        <v>606570</v>
      </c>
      <c r="F503" s="107">
        <v>576570</v>
      </c>
      <c r="G503" s="107">
        <v>546570</v>
      </c>
      <c r="H503" s="107">
        <v>516570</v>
      </c>
      <c r="I503" s="107">
        <v>486570</v>
      </c>
      <c r="J503" s="107">
        <v>456570</v>
      </c>
      <c r="K503" s="107">
        <v>432860</v>
      </c>
      <c r="L503" s="107">
        <v>414110</v>
      </c>
      <c r="M503" s="107">
        <v>395360</v>
      </c>
    </row>
    <row r="504" spans="1:13" s="114" customFormat="1">
      <c r="A504" s="107">
        <v>7040</v>
      </c>
      <c r="B504" s="107">
        <v>7060</v>
      </c>
      <c r="C504" s="107">
        <v>786780</v>
      </c>
      <c r="D504" s="107">
        <v>738320</v>
      </c>
      <c r="E504" s="107">
        <v>610800</v>
      </c>
      <c r="F504" s="107">
        <v>580800</v>
      </c>
      <c r="G504" s="107">
        <v>550800</v>
      </c>
      <c r="H504" s="107">
        <v>520800</v>
      </c>
      <c r="I504" s="107">
        <v>490800</v>
      </c>
      <c r="J504" s="107">
        <v>460800</v>
      </c>
      <c r="K504" s="107">
        <v>435500</v>
      </c>
      <c r="L504" s="107">
        <v>416750</v>
      </c>
      <c r="M504" s="107">
        <v>398000</v>
      </c>
    </row>
    <row r="505" spans="1:13" s="114" customFormat="1">
      <c r="A505" s="107">
        <v>7060</v>
      </c>
      <c r="B505" s="107">
        <v>7080</v>
      </c>
      <c r="C505" s="107">
        <v>791310</v>
      </c>
      <c r="D505" s="107">
        <v>742830</v>
      </c>
      <c r="E505" s="107">
        <v>615020</v>
      </c>
      <c r="F505" s="107">
        <v>585020</v>
      </c>
      <c r="G505" s="107">
        <v>555020</v>
      </c>
      <c r="H505" s="107">
        <v>525020</v>
      </c>
      <c r="I505" s="107">
        <v>495020</v>
      </c>
      <c r="J505" s="107">
        <v>465020</v>
      </c>
      <c r="K505" s="107">
        <v>438140</v>
      </c>
      <c r="L505" s="107">
        <v>419390</v>
      </c>
      <c r="M505" s="107">
        <v>400640</v>
      </c>
    </row>
    <row r="506" spans="1:13" s="114" customFormat="1">
      <c r="A506" s="107">
        <v>7080</v>
      </c>
      <c r="B506" s="107">
        <v>7100</v>
      </c>
      <c r="C506" s="107">
        <v>795850</v>
      </c>
      <c r="D506" s="107">
        <v>747340</v>
      </c>
      <c r="E506" s="107">
        <v>619240</v>
      </c>
      <c r="F506" s="107">
        <v>589240</v>
      </c>
      <c r="G506" s="107">
        <v>559240</v>
      </c>
      <c r="H506" s="107">
        <v>529240</v>
      </c>
      <c r="I506" s="107">
        <v>499240</v>
      </c>
      <c r="J506" s="107">
        <v>469240</v>
      </c>
      <c r="K506" s="107">
        <v>440780</v>
      </c>
      <c r="L506" s="107">
        <v>422030</v>
      </c>
      <c r="M506" s="107">
        <v>403280</v>
      </c>
    </row>
    <row r="507" spans="1:13" s="114" customFormat="1">
      <c r="A507" s="107">
        <v>7100</v>
      </c>
      <c r="B507" s="107">
        <v>7120</v>
      </c>
      <c r="C507" s="107">
        <v>800380</v>
      </c>
      <c r="D507" s="107">
        <v>751850</v>
      </c>
      <c r="E507" s="107">
        <v>623470</v>
      </c>
      <c r="F507" s="107">
        <v>593470</v>
      </c>
      <c r="G507" s="107">
        <v>563470</v>
      </c>
      <c r="H507" s="107">
        <v>533470</v>
      </c>
      <c r="I507" s="107">
        <v>503470</v>
      </c>
      <c r="J507" s="107">
        <v>473470</v>
      </c>
      <c r="K507" s="107">
        <v>443470</v>
      </c>
      <c r="L507" s="107">
        <v>424670</v>
      </c>
      <c r="M507" s="107">
        <v>405920</v>
      </c>
    </row>
    <row r="508" spans="1:13" s="114" customFormat="1">
      <c r="A508" s="107">
        <v>7120</v>
      </c>
      <c r="B508" s="107">
        <v>7140</v>
      </c>
      <c r="C508" s="107">
        <v>804920</v>
      </c>
      <c r="D508" s="107">
        <v>756360</v>
      </c>
      <c r="E508" s="107">
        <v>627690</v>
      </c>
      <c r="F508" s="107">
        <v>597690</v>
      </c>
      <c r="G508" s="107">
        <v>567690</v>
      </c>
      <c r="H508" s="107">
        <v>537690</v>
      </c>
      <c r="I508" s="107">
        <v>507690</v>
      </c>
      <c r="J508" s="107">
        <v>477690</v>
      </c>
      <c r="K508" s="107">
        <v>447690</v>
      </c>
      <c r="L508" s="107">
        <v>427310</v>
      </c>
      <c r="M508" s="107">
        <v>408560</v>
      </c>
    </row>
    <row r="509" spans="1:13" s="114" customFormat="1">
      <c r="A509" s="107">
        <v>7140</v>
      </c>
      <c r="B509" s="107">
        <v>7160</v>
      </c>
      <c r="C509" s="107">
        <v>809460</v>
      </c>
      <c r="D509" s="107">
        <v>760880</v>
      </c>
      <c r="E509" s="107">
        <v>631920</v>
      </c>
      <c r="F509" s="107">
        <v>601920</v>
      </c>
      <c r="G509" s="107">
        <v>571920</v>
      </c>
      <c r="H509" s="107">
        <v>541920</v>
      </c>
      <c r="I509" s="107">
        <v>511920</v>
      </c>
      <c r="J509" s="107">
        <v>481920</v>
      </c>
      <c r="K509" s="107">
        <v>451920</v>
      </c>
      <c r="L509" s="107">
        <v>429950</v>
      </c>
      <c r="M509" s="107">
        <v>411200</v>
      </c>
    </row>
    <row r="510" spans="1:13" s="114" customFormat="1">
      <c r="A510" s="107">
        <v>7160</v>
      </c>
      <c r="B510" s="107">
        <v>7180</v>
      </c>
      <c r="C510" s="107">
        <v>813990</v>
      </c>
      <c r="D510" s="107">
        <v>765390</v>
      </c>
      <c r="E510" s="107">
        <v>636140</v>
      </c>
      <c r="F510" s="107">
        <v>606140</v>
      </c>
      <c r="G510" s="107">
        <v>576140</v>
      </c>
      <c r="H510" s="107">
        <v>546140</v>
      </c>
      <c r="I510" s="107">
        <v>516140</v>
      </c>
      <c r="J510" s="107">
        <v>486140</v>
      </c>
      <c r="K510" s="107">
        <v>456140</v>
      </c>
      <c r="L510" s="107">
        <v>432590</v>
      </c>
      <c r="M510" s="107">
        <v>413840</v>
      </c>
    </row>
    <row r="511" spans="1:13" s="114" customFormat="1">
      <c r="A511" s="107">
        <v>7180</v>
      </c>
      <c r="B511" s="107">
        <v>7200</v>
      </c>
      <c r="C511" s="107">
        <v>818530</v>
      </c>
      <c r="D511" s="107">
        <v>769900</v>
      </c>
      <c r="E511" s="107">
        <v>640360</v>
      </c>
      <c r="F511" s="107">
        <v>610360</v>
      </c>
      <c r="G511" s="107">
        <v>580360</v>
      </c>
      <c r="H511" s="107">
        <v>550360</v>
      </c>
      <c r="I511" s="107">
        <v>520360</v>
      </c>
      <c r="J511" s="107">
        <v>490360</v>
      </c>
      <c r="K511" s="107">
        <v>460360</v>
      </c>
      <c r="L511" s="107">
        <v>435230</v>
      </c>
      <c r="M511" s="107">
        <v>416480</v>
      </c>
    </row>
    <row r="512" spans="1:13" s="114" customFormat="1">
      <c r="A512" s="107">
        <v>7200</v>
      </c>
      <c r="B512" s="107">
        <v>7220</v>
      </c>
      <c r="C512" s="107">
        <v>823060</v>
      </c>
      <c r="D512" s="107">
        <v>774410</v>
      </c>
      <c r="E512" s="107">
        <v>644590</v>
      </c>
      <c r="F512" s="107">
        <v>614590</v>
      </c>
      <c r="G512" s="107">
        <v>584590</v>
      </c>
      <c r="H512" s="107">
        <v>554590</v>
      </c>
      <c r="I512" s="107">
        <v>524590</v>
      </c>
      <c r="J512" s="107">
        <v>494590</v>
      </c>
      <c r="K512" s="107">
        <v>464590</v>
      </c>
      <c r="L512" s="107">
        <v>437870</v>
      </c>
      <c r="M512" s="107">
        <v>419120</v>
      </c>
    </row>
    <row r="513" spans="1:13" s="114" customFormat="1">
      <c r="A513" s="107">
        <v>7220</v>
      </c>
      <c r="B513" s="107">
        <v>7240</v>
      </c>
      <c r="C513" s="107">
        <v>827600</v>
      </c>
      <c r="D513" s="107">
        <v>778920</v>
      </c>
      <c r="E513" s="107">
        <v>648810</v>
      </c>
      <c r="F513" s="107">
        <v>618810</v>
      </c>
      <c r="G513" s="107">
        <v>588810</v>
      </c>
      <c r="H513" s="107">
        <v>558810</v>
      </c>
      <c r="I513" s="107">
        <v>528810</v>
      </c>
      <c r="J513" s="107">
        <v>498810</v>
      </c>
      <c r="K513" s="107">
        <v>468810</v>
      </c>
      <c r="L513" s="107">
        <v>440510</v>
      </c>
      <c r="M513" s="107">
        <v>421760</v>
      </c>
    </row>
    <row r="514" spans="1:13" s="114" customFormat="1">
      <c r="A514" s="107">
        <v>7240</v>
      </c>
      <c r="B514" s="107">
        <v>7260</v>
      </c>
      <c r="C514" s="107">
        <v>832140</v>
      </c>
      <c r="D514" s="107">
        <v>783440</v>
      </c>
      <c r="E514" s="107">
        <v>653040</v>
      </c>
      <c r="F514" s="107">
        <v>623040</v>
      </c>
      <c r="G514" s="107">
        <v>593040</v>
      </c>
      <c r="H514" s="107">
        <v>563040</v>
      </c>
      <c r="I514" s="107">
        <v>533040</v>
      </c>
      <c r="J514" s="107">
        <v>503040</v>
      </c>
      <c r="K514" s="107">
        <v>473040</v>
      </c>
      <c r="L514" s="107">
        <v>443150</v>
      </c>
      <c r="M514" s="107">
        <v>424400</v>
      </c>
    </row>
    <row r="515" spans="1:13" s="114" customFormat="1">
      <c r="A515" s="107">
        <v>7260</v>
      </c>
      <c r="B515" s="107">
        <v>7280</v>
      </c>
      <c r="C515" s="107">
        <v>836670</v>
      </c>
      <c r="D515" s="107">
        <v>787950</v>
      </c>
      <c r="E515" s="107">
        <v>657260</v>
      </c>
      <c r="F515" s="107">
        <v>627260</v>
      </c>
      <c r="G515" s="107">
        <v>597260</v>
      </c>
      <c r="H515" s="107">
        <v>567260</v>
      </c>
      <c r="I515" s="107">
        <v>537260</v>
      </c>
      <c r="J515" s="107">
        <v>507260</v>
      </c>
      <c r="K515" s="107">
        <v>477260</v>
      </c>
      <c r="L515" s="107">
        <v>447260</v>
      </c>
      <c r="M515" s="107">
        <v>427040</v>
      </c>
    </row>
    <row r="516" spans="1:13" s="114" customFormat="1">
      <c r="A516" s="107">
        <v>7280</v>
      </c>
      <c r="B516" s="107">
        <v>7300</v>
      </c>
      <c r="C516" s="107">
        <v>841210</v>
      </c>
      <c r="D516" s="107">
        <v>792460</v>
      </c>
      <c r="E516" s="107">
        <v>661480</v>
      </c>
      <c r="F516" s="107">
        <v>631480</v>
      </c>
      <c r="G516" s="107">
        <v>601480</v>
      </c>
      <c r="H516" s="107">
        <v>571480</v>
      </c>
      <c r="I516" s="107">
        <v>541480</v>
      </c>
      <c r="J516" s="107">
        <v>511480</v>
      </c>
      <c r="K516" s="107">
        <v>481480</v>
      </c>
      <c r="L516" s="107">
        <v>451480</v>
      </c>
      <c r="M516" s="107">
        <v>429680</v>
      </c>
    </row>
    <row r="517" spans="1:13" s="114" customFormat="1">
      <c r="A517" s="107">
        <v>7300</v>
      </c>
      <c r="B517" s="107">
        <v>7320</v>
      </c>
      <c r="C517" s="107">
        <v>845740</v>
      </c>
      <c r="D517" s="107">
        <v>796970</v>
      </c>
      <c r="E517" s="107">
        <v>665710</v>
      </c>
      <c r="F517" s="107">
        <v>635710</v>
      </c>
      <c r="G517" s="107">
        <v>605710</v>
      </c>
      <c r="H517" s="107">
        <v>575710</v>
      </c>
      <c r="I517" s="107">
        <v>545710</v>
      </c>
      <c r="J517" s="107">
        <v>515710</v>
      </c>
      <c r="K517" s="107">
        <v>485710</v>
      </c>
      <c r="L517" s="107">
        <v>455710</v>
      </c>
      <c r="M517" s="107">
        <v>432320</v>
      </c>
    </row>
    <row r="518" spans="1:13" s="114" customFormat="1">
      <c r="A518" s="107">
        <v>7320</v>
      </c>
      <c r="B518" s="107">
        <v>7340</v>
      </c>
      <c r="C518" s="107">
        <v>850280</v>
      </c>
      <c r="D518" s="107">
        <v>801480</v>
      </c>
      <c r="E518" s="107">
        <v>669930</v>
      </c>
      <c r="F518" s="107">
        <v>639930</v>
      </c>
      <c r="G518" s="107">
        <v>609930</v>
      </c>
      <c r="H518" s="107">
        <v>579930</v>
      </c>
      <c r="I518" s="107">
        <v>549930</v>
      </c>
      <c r="J518" s="107">
        <v>519930</v>
      </c>
      <c r="K518" s="107">
        <v>489930</v>
      </c>
      <c r="L518" s="107">
        <v>459930</v>
      </c>
      <c r="M518" s="107">
        <v>434960</v>
      </c>
    </row>
    <row r="519" spans="1:13" s="114" customFormat="1">
      <c r="A519" s="107">
        <v>7340</v>
      </c>
      <c r="B519" s="107">
        <v>7360</v>
      </c>
      <c r="C519" s="107">
        <v>854820</v>
      </c>
      <c r="D519" s="107">
        <v>806000</v>
      </c>
      <c r="E519" s="107">
        <v>674160</v>
      </c>
      <c r="F519" s="107">
        <v>644160</v>
      </c>
      <c r="G519" s="107">
        <v>614160</v>
      </c>
      <c r="H519" s="107">
        <v>584160</v>
      </c>
      <c r="I519" s="107">
        <v>554160</v>
      </c>
      <c r="J519" s="107">
        <v>524160</v>
      </c>
      <c r="K519" s="107">
        <v>494160</v>
      </c>
      <c r="L519" s="107">
        <v>464160</v>
      </c>
      <c r="M519" s="107">
        <v>437600</v>
      </c>
    </row>
    <row r="520" spans="1:13" s="114" customFormat="1">
      <c r="A520" s="107">
        <v>7360</v>
      </c>
      <c r="B520" s="107">
        <v>7380</v>
      </c>
      <c r="C520" s="107">
        <v>859350</v>
      </c>
      <c r="D520" s="107">
        <v>810510</v>
      </c>
      <c r="E520" s="107">
        <v>678380</v>
      </c>
      <c r="F520" s="107">
        <v>648380</v>
      </c>
      <c r="G520" s="107">
        <v>618380</v>
      </c>
      <c r="H520" s="107">
        <v>588380</v>
      </c>
      <c r="I520" s="107">
        <v>558380</v>
      </c>
      <c r="J520" s="107">
        <v>528380</v>
      </c>
      <c r="K520" s="107">
        <v>498380</v>
      </c>
      <c r="L520" s="107">
        <v>468380</v>
      </c>
      <c r="M520" s="107">
        <v>440240</v>
      </c>
    </row>
    <row r="521" spans="1:13" s="114" customFormat="1">
      <c r="A521" s="107">
        <v>7380</v>
      </c>
      <c r="B521" s="107">
        <v>7400</v>
      </c>
      <c r="C521" s="107">
        <v>863890</v>
      </c>
      <c r="D521" s="107">
        <v>815020</v>
      </c>
      <c r="E521" s="107">
        <v>682600</v>
      </c>
      <c r="F521" s="107">
        <v>652600</v>
      </c>
      <c r="G521" s="107">
        <v>622600</v>
      </c>
      <c r="H521" s="107">
        <v>592600</v>
      </c>
      <c r="I521" s="107">
        <v>562600</v>
      </c>
      <c r="J521" s="107">
        <v>532600</v>
      </c>
      <c r="K521" s="107">
        <v>502600</v>
      </c>
      <c r="L521" s="107">
        <v>472600</v>
      </c>
      <c r="M521" s="107">
        <v>442880</v>
      </c>
    </row>
    <row r="522" spans="1:13" s="114" customFormat="1">
      <c r="A522" s="107">
        <v>7400</v>
      </c>
      <c r="B522" s="107">
        <v>7420</v>
      </c>
      <c r="C522" s="107">
        <v>868420</v>
      </c>
      <c r="D522" s="107">
        <v>819530</v>
      </c>
      <c r="E522" s="107">
        <v>686830</v>
      </c>
      <c r="F522" s="107">
        <v>656830</v>
      </c>
      <c r="G522" s="107">
        <v>626830</v>
      </c>
      <c r="H522" s="107">
        <v>596830</v>
      </c>
      <c r="I522" s="107">
        <v>566830</v>
      </c>
      <c r="J522" s="107">
        <v>536830</v>
      </c>
      <c r="K522" s="107">
        <v>506830</v>
      </c>
      <c r="L522" s="107">
        <v>476830</v>
      </c>
      <c r="M522" s="107">
        <v>446830</v>
      </c>
    </row>
    <row r="523" spans="1:13" s="114" customFormat="1">
      <c r="A523" s="107">
        <v>7420</v>
      </c>
      <c r="B523" s="107">
        <v>7440</v>
      </c>
      <c r="C523" s="107">
        <v>872960</v>
      </c>
      <c r="D523" s="107">
        <v>824040</v>
      </c>
      <c r="E523" s="107">
        <v>691050</v>
      </c>
      <c r="F523" s="107">
        <v>661050</v>
      </c>
      <c r="G523" s="107">
        <v>631050</v>
      </c>
      <c r="H523" s="107">
        <v>601050</v>
      </c>
      <c r="I523" s="107">
        <v>571050</v>
      </c>
      <c r="J523" s="107">
        <v>541050</v>
      </c>
      <c r="K523" s="107">
        <v>511050</v>
      </c>
      <c r="L523" s="107">
        <v>481050</v>
      </c>
      <c r="M523" s="107">
        <v>451050</v>
      </c>
    </row>
    <row r="524" spans="1:13" s="114" customFormat="1">
      <c r="A524" s="107">
        <v>7440</v>
      </c>
      <c r="B524" s="107">
        <v>7460</v>
      </c>
      <c r="C524" s="107">
        <v>877500</v>
      </c>
      <c r="D524" s="107">
        <v>828560</v>
      </c>
      <c r="E524" s="107">
        <v>695280</v>
      </c>
      <c r="F524" s="107">
        <v>665280</v>
      </c>
      <c r="G524" s="107">
        <v>635280</v>
      </c>
      <c r="H524" s="107">
        <v>605280</v>
      </c>
      <c r="I524" s="107">
        <v>575280</v>
      </c>
      <c r="J524" s="107">
        <v>545280</v>
      </c>
      <c r="K524" s="107">
        <v>515280</v>
      </c>
      <c r="L524" s="107">
        <v>485280</v>
      </c>
      <c r="M524" s="107">
        <v>455280</v>
      </c>
    </row>
    <row r="525" spans="1:13" s="114" customFormat="1">
      <c r="A525" s="107">
        <v>7460</v>
      </c>
      <c r="B525" s="107">
        <v>7480</v>
      </c>
      <c r="C525" s="107">
        <v>882030</v>
      </c>
      <c r="D525" s="107">
        <v>833070</v>
      </c>
      <c r="E525" s="107">
        <v>699500</v>
      </c>
      <c r="F525" s="107">
        <v>669500</v>
      </c>
      <c r="G525" s="107">
        <v>639500</v>
      </c>
      <c r="H525" s="107">
        <v>609500</v>
      </c>
      <c r="I525" s="107">
        <v>579500</v>
      </c>
      <c r="J525" s="107">
        <v>549500</v>
      </c>
      <c r="K525" s="107">
        <v>519500</v>
      </c>
      <c r="L525" s="107">
        <v>489500</v>
      </c>
      <c r="M525" s="107">
        <v>459500</v>
      </c>
    </row>
    <row r="526" spans="1:13" s="114" customFormat="1">
      <c r="A526" s="107">
        <v>7480</v>
      </c>
      <c r="B526" s="107">
        <v>7500</v>
      </c>
      <c r="C526" s="107">
        <v>886570</v>
      </c>
      <c r="D526" s="107">
        <v>837580</v>
      </c>
      <c r="E526" s="107">
        <v>703720</v>
      </c>
      <c r="F526" s="107">
        <v>673720</v>
      </c>
      <c r="G526" s="107">
        <v>643720</v>
      </c>
      <c r="H526" s="107">
        <v>613720</v>
      </c>
      <c r="I526" s="107">
        <v>583720</v>
      </c>
      <c r="J526" s="107">
        <v>553720</v>
      </c>
      <c r="K526" s="107">
        <v>523720</v>
      </c>
      <c r="L526" s="107">
        <v>493720</v>
      </c>
      <c r="M526" s="107">
        <v>463720</v>
      </c>
    </row>
    <row r="527" spans="1:13" s="114" customFormat="1">
      <c r="A527" s="107">
        <v>7500</v>
      </c>
      <c r="B527" s="107">
        <v>7520</v>
      </c>
      <c r="C527" s="107">
        <v>891100</v>
      </c>
      <c r="D527" s="107">
        <v>842090</v>
      </c>
      <c r="E527" s="107">
        <v>707950</v>
      </c>
      <c r="F527" s="107">
        <v>677950</v>
      </c>
      <c r="G527" s="107">
        <v>647950</v>
      </c>
      <c r="H527" s="107">
        <v>617950</v>
      </c>
      <c r="I527" s="107">
        <v>587950</v>
      </c>
      <c r="J527" s="107">
        <v>557950</v>
      </c>
      <c r="K527" s="107">
        <v>527950</v>
      </c>
      <c r="L527" s="107">
        <v>497950</v>
      </c>
      <c r="M527" s="107">
        <v>467950</v>
      </c>
    </row>
    <row r="528" spans="1:13" s="114" customFormat="1">
      <c r="A528" s="107">
        <v>7520</v>
      </c>
      <c r="B528" s="107">
        <v>7540</v>
      </c>
      <c r="C528" s="107">
        <v>895640</v>
      </c>
      <c r="D528" s="107">
        <v>846600</v>
      </c>
      <c r="E528" s="107">
        <v>712170</v>
      </c>
      <c r="F528" s="107">
        <v>682170</v>
      </c>
      <c r="G528" s="107">
        <v>652170</v>
      </c>
      <c r="H528" s="107">
        <v>622170</v>
      </c>
      <c r="I528" s="107">
        <v>592170</v>
      </c>
      <c r="J528" s="107">
        <v>562170</v>
      </c>
      <c r="K528" s="107">
        <v>532170</v>
      </c>
      <c r="L528" s="107">
        <v>502170</v>
      </c>
      <c r="M528" s="107">
        <v>472170</v>
      </c>
    </row>
    <row r="529" spans="1:13" s="114" customFormat="1">
      <c r="A529" s="107">
        <v>7540</v>
      </c>
      <c r="B529" s="107">
        <v>7560</v>
      </c>
      <c r="C529" s="107">
        <v>900180</v>
      </c>
      <c r="D529" s="107">
        <v>851120</v>
      </c>
      <c r="E529" s="107">
        <v>716400</v>
      </c>
      <c r="F529" s="107">
        <v>686400</v>
      </c>
      <c r="G529" s="107">
        <v>656400</v>
      </c>
      <c r="H529" s="107">
        <v>626400</v>
      </c>
      <c r="I529" s="107">
        <v>596400</v>
      </c>
      <c r="J529" s="107">
        <v>566400</v>
      </c>
      <c r="K529" s="107">
        <v>536400</v>
      </c>
      <c r="L529" s="107">
        <v>506400</v>
      </c>
      <c r="M529" s="107">
        <v>476400</v>
      </c>
    </row>
    <row r="530" spans="1:13" s="114" customFormat="1">
      <c r="A530" s="107">
        <v>7560</v>
      </c>
      <c r="B530" s="107">
        <v>7580</v>
      </c>
      <c r="C530" s="107">
        <v>904710</v>
      </c>
      <c r="D530" s="107">
        <v>855630</v>
      </c>
      <c r="E530" s="107">
        <v>720620</v>
      </c>
      <c r="F530" s="107">
        <v>690620</v>
      </c>
      <c r="G530" s="107">
        <v>660620</v>
      </c>
      <c r="H530" s="107">
        <v>630620</v>
      </c>
      <c r="I530" s="107">
        <v>600620</v>
      </c>
      <c r="J530" s="107">
        <v>570620</v>
      </c>
      <c r="K530" s="107">
        <v>540620</v>
      </c>
      <c r="L530" s="107">
        <v>510620</v>
      </c>
      <c r="M530" s="107">
        <v>480620</v>
      </c>
    </row>
    <row r="531" spans="1:13" s="114" customFormat="1">
      <c r="A531" s="107">
        <v>7580</v>
      </c>
      <c r="B531" s="107">
        <v>7600</v>
      </c>
      <c r="C531" s="107">
        <v>909250</v>
      </c>
      <c r="D531" s="107">
        <v>860140</v>
      </c>
      <c r="E531" s="107">
        <v>724840</v>
      </c>
      <c r="F531" s="107">
        <v>694840</v>
      </c>
      <c r="G531" s="107">
        <v>664840</v>
      </c>
      <c r="H531" s="107">
        <v>634840</v>
      </c>
      <c r="I531" s="107">
        <v>604840</v>
      </c>
      <c r="J531" s="107">
        <v>574840</v>
      </c>
      <c r="K531" s="107">
        <v>544840</v>
      </c>
      <c r="L531" s="107">
        <v>514840</v>
      </c>
      <c r="M531" s="107">
        <v>484840</v>
      </c>
    </row>
    <row r="532" spans="1:13" s="114" customFormat="1">
      <c r="A532" s="107">
        <v>7600</v>
      </c>
      <c r="B532" s="107">
        <v>7620</v>
      </c>
      <c r="C532" s="107">
        <v>913780</v>
      </c>
      <c r="D532" s="107">
        <v>864650</v>
      </c>
      <c r="E532" s="107">
        <v>729070</v>
      </c>
      <c r="F532" s="107">
        <v>699070</v>
      </c>
      <c r="G532" s="107">
        <v>669070</v>
      </c>
      <c r="H532" s="107">
        <v>639070</v>
      </c>
      <c r="I532" s="107">
        <v>609070</v>
      </c>
      <c r="J532" s="107">
        <v>579070</v>
      </c>
      <c r="K532" s="107">
        <v>549070</v>
      </c>
      <c r="L532" s="107">
        <v>519070</v>
      </c>
      <c r="M532" s="107">
        <v>489070</v>
      </c>
    </row>
    <row r="533" spans="1:13" s="114" customFormat="1">
      <c r="A533" s="107">
        <v>7620</v>
      </c>
      <c r="B533" s="107">
        <v>7640</v>
      </c>
      <c r="C533" s="107">
        <v>918320</v>
      </c>
      <c r="D533" s="107">
        <v>869160</v>
      </c>
      <c r="E533" s="107">
        <v>733290</v>
      </c>
      <c r="F533" s="107">
        <v>703290</v>
      </c>
      <c r="G533" s="107">
        <v>673290</v>
      </c>
      <c r="H533" s="107">
        <v>643290</v>
      </c>
      <c r="I533" s="107">
        <v>613290</v>
      </c>
      <c r="J533" s="107">
        <v>583290</v>
      </c>
      <c r="K533" s="107">
        <v>553290</v>
      </c>
      <c r="L533" s="107">
        <v>523290</v>
      </c>
      <c r="M533" s="107">
        <v>493290</v>
      </c>
    </row>
    <row r="534" spans="1:13" s="114" customFormat="1">
      <c r="A534" s="107">
        <v>7640</v>
      </c>
      <c r="B534" s="107">
        <v>7660</v>
      </c>
      <c r="C534" s="107">
        <v>922860</v>
      </c>
      <c r="D534" s="107">
        <v>873680</v>
      </c>
      <c r="E534" s="107">
        <v>737520</v>
      </c>
      <c r="F534" s="107">
        <v>707520</v>
      </c>
      <c r="G534" s="107">
        <v>677520</v>
      </c>
      <c r="H534" s="107">
        <v>647520</v>
      </c>
      <c r="I534" s="107">
        <v>617520</v>
      </c>
      <c r="J534" s="107">
        <v>587520</v>
      </c>
      <c r="K534" s="107">
        <v>557520</v>
      </c>
      <c r="L534" s="107">
        <v>527520</v>
      </c>
      <c r="M534" s="107">
        <v>497520</v>
      </c>
    </row>
    <row r="535" spans="1:13" s="114" customFormat="1">
      <c r="A535" s="107">
        <v>7660</v>
      </c>
      <c r="B535" s="107">
        <v>7680</v>
      </c>
      <c r="C535" s="107">
        <v>927390</v>
      </c>
      <c r="D535" s="107">
        <v>878190</v>
      </c>
      <c r="E535" s="107">
        <v>741740</v>
      </c>
      <c r="F535" s="107">
        <v>711740</v>
      </c>
      <c r="G535" s="107">
        <v>681740</v>
      </c>
      <c r="H535" s="107">
        <v>651740</v>
      </c>
      <c r="I535" s="107">
        <v>621740</v>
      </c>
      <c r="J535" s="107">
        <v>591740</v>
      </c>
      <c r="K535" s="107">
        <v>561740</v>
      </c>
      <c r="L535" s="107">
        <v>531740</v>
      </c>
      <c r="M535" s="107">
        <v>501740</v>
      </c>
    </row>
    <row r="536" spans="1:13" s="114" customFormat="1">
      <c r="A536" s="107">
        <v>7680</v>
      </c>
      <c r="B536" s="107">
        <v>7700</v>
      </c>
      <c r="C536" s="107">
        <v>931930</v>
      </c>
      <c r="D536" s="107">
        <v>882700</v>
      </c>
      <c r="E536" s="107">
        <v>745960</v>
      </c>
      <c r="F536" s="107">
        <v>715960</v>
      </c>
      <c r="G536" s="107">
        <v>685960</v>
      </c>
      <c r="H536" s="107">
        <v>655960</v>
      </c>
      <c r="I536" s="107">
        <v>625960</v>
      </c>
      <c r="J536" s="107">
        <v>595960</v>
      </c>
      <c r="K536" s="107">
        <v>565960</v>
      </c>
      <c r="L536" s="107">
        <v>535960</v>
      </c>
      <c r="M536" s="107">
        <v>505960</v>
      </c>
    </row>
    <row r="537" spans="1:13" s="114" customFormat="1">
      <c r="A537" s="107">
        <v>7700</v>
      </c>
      <c r="B537" s="107">
        <v>7720</v>
      </c>
      <c r="C537" s="107">
        <v>936460</v>
      </c>
      <c r="D537" s="107">
        <v>887210</v>
      </c>
      <c r="E537" s="107">
        <v>750190</v>
      </c>
      <c r="F537" s="107">
        <v>720190</v>
      </c>
      <c r="G537" s="107">
        <v>690190</v>
      </c>
      <c r="H537" s="107">
        <v>660190</v>
      </c>
      <c r="I537" s="107">
        <v>630190</v>
      </c>
      <c r="J537" s="107">
        <v>600190</v>
      </c>
      <c r="K537" s="107">
        <v>570190</v>
      </c>
      <c r="L537" s="107">
        <v>540190</v>
      </c>
      <c r="M537" s="107">
        <v>510190</v>
      </c>
    </row>
    <row r="538" spans="1:13" s="114" customFormat="1">
      <c r="A538" s="107">
        <v>7720</v>
      </c>
      <c r="B538" s="107">
        <v>7740</v>
      </c>
      <c r="C538" s="107">
        <v>941000</v>
      </c>
      <c r="D538" s="107">
        <v>891720</v>
      </c>
      <c r="E538" s="107">
        <v>754410</v>
      </c>
      <c r="F538" s="107">
        <v>724410</v>
      </c>
      <c r="G538" s="107">
        <v>694410</v>
      </c>
      <c r="H538" s="107">
        <v>664410</v>
      </c>
      <c r="I538" s="107">
        <v>634410</v>
      </c>
      <c r="J538" s="107">
        <v>604410</v>
      </c>
      <c r="K538" s="107">
        <v>574410</v>
      </c>
      <c r="L538" s="107">
        <v>544410</v>
      </c>
      <c r="M538" s="107">
        <v>514410</v>
      </c>
    </row>
    <row r="539" spans="1:13" s="114" customFormat="1">
      <c r="A539" s="107">
        <v>7740</v>
      </c>
      <c r="B539" s="107">
        <v>7760</v>
      </c>
      <c r="C539" s="107">
        <v>945540</v>
      </c>
      <c r="D539" s="107">
        <v>896240</v>
      </c>
      <c r="E539" s="107">
        <v>758640</v>
      </c>
      <c r="F539" s="107">
        <v>728640</v>
      </c>
      <c r="G539" s="107">
        <v>698640</v>
      </c>
      <c r="H539" s="107">
        <v>668640</v>
      </c>
      <c r="I539" s="107">
        <v>638640</v>
      </c>
      <c r="J539" s="107">
        <v>608640</v>
      </c>
      <c r="K539" s="107">
        <v>578640</v>
      </c>
      <c r="L539" s="107">
        <v>548640</v>
      </c>
      <c r="M539" s="107">
        <v>518640</v>
      </c>
    </row>
    <row r="540" spans="1:13" s="114" customFormat="1">
      <c r="A540" s="107">
        <v>7760</v>
      </c>
      <c r="B540" s="107">
        <v>7780</v>
      </c>
      <c r="C540" s="107">
        <v>950070</v>
      </c>
      <c r="D540" s="107">
        <v>900750</v>
      </c>
      <c r="E540" s="107">
        <v>762860</v>
      </c>
      <c r="F540" s="107">
        <v>732860</v>
      </c>
      <c r="G540" s="107">
        <v>702860</v>
      </c>
      <c r="H540" s="107">
        <v>672860</v>
      </c>
      <c r="I540" s="107">
        <v>642860</v>
      </c>
      <c r="J540" s="107">
        <v>612860</v>
      </c>
      <c r="K540" s="107">
        <v>582860</v>
      </c>
      <c r="L540" s="107">
        <v>552860</v>
      </c>
      <c r="M540" s="107">
        <v>522860</v>
      </c>
    </row>
    <row r="541" spans="1:13" s="114" customFormat="1">
      <c r="A541" s="107">
        <v>7780</v>
      </c>
      <c r="B541" s="107">
        <v>7800</v>
      </c>
      <c r="C541" s="107">
        <v>954610</v>
      </c>
      <c r="D541" s="107">
        <v>905260</v>
      </c>
      <c r="E541" s="107">
        <v>767080</v>
      </c>
      <c r="F541" s="107">
        <v>737080</v>
      </c>
      <c r="G541" s="107">
        <v>707080</v>
      </c>
      <c r="H541" s="107">
        <v>677080</v>
      </c>
      <c r="I541" s="107">
        <v>647080</v>
      </c>
      <c r="J541" s="107">
        <v>617080</v>
      </c>
      <c r="K541" s="107">
        <v>587080</v>
      </c>
      <c r="L541" s="107">
        <v>557080</v>
      </c>
      <c r="M541" s="107">
        <v>527080</v>
      </c>
    </row>
    <row r="542" spans="1:13" s="114" customFormat="1">
      <c r="A542" s="107">
        <v>7800</v>
      </c>
      <c r="B542" s="107">
        <v>7820</v>
      </c>
      <c r="C542" s="107">
        <v>959140</v>
      </c>
      <c r="D542" s="107">
        <v>909770</v>
      </c>
      <c r="E542" s="107">
        <v>771310</v>
      </c>
      <c r="F542" s="107">
        <v>741310</v>
      </c>
      <c r="G542" s="107">
        <v>711310</v>
      </c>
      <c r="H542" s="107">
        <v>681310</v>
      </c>
      <c r="I542" s="107">
        <v>651310</v>
      </c>
      <c r="J542" s="107">
        <v>621310</v>
      </c>
      <c r="K542" s="107">
        <v>591310</v>
      </c>
      <c r="L542" s="107">
        <v>561310</v>
      </c>
      <c r="M542" s="107">
        <v>531310</v>
      </c>
    </row>
    <row r="543" spans="1:13" s="114" customFormat="1">
      <c r="A543" s="107">
        <v>7820</v>
      </c>
      <c r="B543" s="107">
        <v>7840</v>
      </c>
      <c r="C543" s="107">
        <v>963680</v>
      </c>
      <c r="D543" s="107">
        <v>914280</v>
      </c>
      <c r="E543" s="107">
        <v>775530</v>
      </c>
      <c r="F543" s="107">
        <v>745530</v>
      </c>
      <c r="G543" s="107">
        <v>715530</v>
      </c>
      <c r="H543" s="107">
        <v>685530</v>
      </c>
      <c r="I543" s="107">
        <v>655530</v>
      </c>
      <c r="J543" s="107">
        <v>625530</v>
      </c>
      <c r="K543" s="107">
        <v>595530</v>
      </c>
      <c r="L543" s="107">
        <v>565530</v>
      </c>
      <c r="M543" s="107">
        <v>535530</v>
      </c>
    </row>
    <row r="544" spans="1:13" s="114" customFormat="1">
      <c r="A544" s="107">
        <v>7840</v>
      </c>
      <c r="B544" s="107">
        <v>7860</v>
      </c>
      <c r="C544" s="107">
        <v>968220</v>
      </c>
      <c r="D544" s="107">
        <v>918800</v>
      </c>
      <c r="E544" s="107">
        <v>779760</v>
      </c>
      <c r="F544" s="107">
        <v>749760</v>
      </c>
      <c r="G544" s="107">
        <v>719760</v>
      </c>
      <c r="H544" s="107">
        <v>689760</v>
      </c>
      <c r="I544" s="107">
        <v>659760</v>
      </c>
      <c r="J544" s="107">
        <v>629760</v>
      </c>
      <c r="K544" s="107">
        <v>599760</v>
      </c>
      <c r="L544" s="107">
        <v>569760</v>
      </c>
      <c r="M544" s="107">
        <v>539760</v>
      </c>
    </row>
    <row r="545" spans="1:13" s="114" customFormat="1">
      <c r="A545" s="107">
        <v>7860</v>
      </c>
      <c r="B545" s="107">
        <v>7880</v>
      </c>
      <c r="C545" s="107">
        <v>972750</v>
      </c>
      <c r="D545" s="107">
        <v>923310</v>
      </c>
      <c r="E545" s="107">
        <v>783980</v>
      </c>
      <c r="F545" s="107">
        <v>753980</v>
      </c>
      <c r="G545" s="107">
        <v>723980</v>
      </c>
      <c r="H545" s="107">
        <v>693980</v>
      </c>
      <c r="I545" s="107">
        <v>663980</v>
      </c>
      <c r="J545" s="107">
        <v>633980</v>
      </c>
      <c r="K545" s="107">
        <v>603980</v>
      </c>
      <c r="L545" s="107">
        <v>573980</v>
      </c>
      <c r="M545" s="107">
        <v>543980</v>
      </c>
    </row>
    <row r="546" spans="1:13" s="114" customFormat="1">
      <c r="A546" s="107">
        <v>7880</v>
      </c>
      <c r="B546" s="107">
        <v>7900</v>
      </c>
      <c r="C546" s="107">
        <v>977290</v>
      </c>
      <c r="D546" s="107">
        <v>927820</v>
      </c>
      <c r="E546" s="107">
        <v>788200</v>
      </c>
      <c r="F546" s="107">
        <v>758200</v>
      </c>
      <c r="G546" s="107">
        <v>728200</v>
      </c>
      <c r="H546" s="107">
        <v>698200</v>
      </c>
      <c r="I546" s="107">
        <v>668200</v>
      </c>
      <c r="J546" s="107">
        <v>638200</v>
      </c>
      <c r="K546" s="107">
        <v>608200</v>
      </c>
      <c r="L546" s="107">
        <v>578200</v>
      </c>
      <c r="M546" s="107">
        <v>548200</v>
      </c>
    </row>
    <row r="547" spans="1:13" s="114" customFormat="1">
      <c r="A547" s="107">
        <v>7900</v>
      </c>
      <c r="B547" s="107">
        <v>7920</v>
      </c>
      <c r="C547" s="107">
        <v>981820</v>
      </c>
      <c r="D547" s="107">
        <v>932330</v>
      </c>
      <c r="E547" s="107">
        <v>792430</v>
      </c>
      <c r="F547" s="107">
        <v>762430</v>
      </c>
      <c r="G547" s="107">
        <v>732430</v>
      </c>
      <c r="H547" s="107">
        <v>702430</v>
      </c>
      <c r="I547" s="107">
        <v>672430</v>
      </c>
      <c r="J547" s="107">
        <v>642430</v>
      </c>
      <c r="K547" s="107">
        <v>612430</v>
      </c>
      <c r="L547" s="107">
        <v>582430</v>
      </c>
      <c r="M547" s="107">
        <v>552430</v>
      </c>
    </row>
    <row r="548" spans="1:13" s="114" customFormat="1">
      <c r="A548" s="107">
        <v>7920</v>
      </c>
      <c r="B548" s="107">
        <v>7940</v>
      </c>
      <c r="C548" s="107">
        <v>986360</v>
      </c>
      <c r="D548" s="107">
        <v>936840</v>
      </c>
      <c r="E548" s="107">
        <v>796650</v>
      </c>
      <c r="F548" s="107">
        <v>766650</v>
      </c>
      <c r="G548" s="107">
        <v>736650</v>
      </c>
      <c r="H548" s="107">
        <v>706650</v>
      </c>
      <c r="I548" s="107">
        <v>676650</v>
      </c>
      <c r="J548" s="107">
        <v>646650</v>
      </c>
      <c r="K548" s="107">
        <v>616650</v>
      </c>
      <c r="L548" s="107">
        <v>586650</v>
      </c>
      <c r="M548" s="107">
        <v>556650</v>
      </c>
    </row>
    <row r="549" spans="1:13" s="114" customFormat="1">
      <c r="A549" s="107">
        <v>7940</v>
      </c>
      <c r="B549" s="107">
        <v>7960</v>
      </c>
      <c r="C549" s="107">
        <v>990900</v>
      </c>
      <c r="D549" s="107">
        <v>941360</v>
      </c>
      <c r="E549" s="107">
        <v>800880</v>
      </c>
      <c r="F549" s="107">
        <v>770880</v>
      </c>
      <c r="G549" s="107">
        <v>740880</v>
      </c>
      <c r="H549" s="107">
        <v>710880</v>
      </c>
      <c r="I549" s="107">
        <v>680880</v>
      </c>
      <c r="J549" s="107">
        <v>650880</v>
      </c>
      <c r="K549" s="107">
        <v>620880</v>
      </c>
      <c r="L549" s="107">
        <v>590880</v>
      </c>
      <c r="M549" s="107">
        <v>560880</v>
      </c>
    </row>
    <row r="550" spans="1:13" s="114" customFormat="1">
      <c r="A550" s="107">
        <v>7960</v>
      </c>
      <c r="B550" s="107">
        <v>7980</v>
      </c>
      <c r="C550" s="107">
        <v>995430</v>
      </c>
      <c r="D550" s="107">
        <v>945870</v>
      </c>
      <c r="E550" s="107">
        <v>805100</v>
      </c>
      <c r="F550" s="107">
        <v>775100</v>
      </c>
      <c r="G550" s="107">
        <v>745100</v>
      </c>
      <c r="H550" s="107">
        <v>715100</v>
      </c>
      <c r="I550" s="107">
        <v>685100</v>
      </c>
      <c r="J550" s="107">
        <v>655100</v>
      </c>
      <c r="K550" s="107">
        <v>625100</v>
      </c>
      <c r="L550" s="107">
        <v>595100</v>
      </c>
      <c r="M550" s="107">
        <v>565100</v>
      </c>
    </row>
    <row r="551" spans="1:13" s="114" customFormat="1">
      <c r="A551" s="107">
        <v>7980</v>
      </c>
      <c r="B551" s="107">
        <v>8000</v>
      </c>
      <c r="C551" s="107">
        <v>999970</v>
      </c>
      <c r="D551" s="107">
        <v>950380</v>
      </c>
      <c r="E551" s="107">
        <v>809320</v>
      </c>
      <c r="F551" s="107">
        <v>779320</v>
      </c>
      <c r="G551" s="107">
        <v>749320</v>
      </c>
      <c r="H551" s="107">
        <v>719320</v>
      </c>
      <c r="I551" s="107">
        <v>689320</v>
      </c>
      <c r="J551" s="107">
        <v>659320</v>
      </c>
      <c r="K551" s="107">
        <v>629320</v>
      </c>
      <c r="L551" s="107">
        <v>599320</v>
      </c>
      <c r="M551" s="107">
        <v>569320</v>
      </c>
    </row>
    <row r="552" spans="1:13" s="114" customFormat="1">
      <c r="A552" s="107">
        <v>8000</v>
      </c>
      <c r="B552" s="107">
        <v>8020</v>
      </c>
      <c r="C552" s="107">
        <v>1004500</v>
      </c>
      <c r="D552" s="107">
        <v>954890</v>
      </c>
      <c r="E552" s="107">
        <v>813550</v>
      </c>
      <c r="F552" s="107">
        <v>783550</v>
      </c>
      <c r="G552" s="107">
        <v>753550</v>
      </c>
      <c r="H552" s="107">
        <v>723550</v>
      </c>
      <c r="I552" s="107">
        <v>693550</v>
      </c>
      <c r="J552" s="107">
        <v>663550</v>
      </c>
      <c r="K552" s="107">
        <v>633550</v>
      </c>
      <c r="L552" s="107">
        <v>603550</v>
      </c>
      <c r="M552" s="107">
        <v>573550</v>
      </c>
    </row>
    <row r="553" spans="1:13" s="114" customFormat="1">
      <c r="A553" s="107">
        <v>8020</v>
      </c>
      <c r="B553" s="107">
        <v>8040</v>
      </c>
      <c r="C553" s="107">
        <v>1009040</v>
      </c>
      <c r="D553" s="107">
        <v>959400</v>
      </c>
      <c r="E553" s="107">
        <v>817770</v>
      </c>
      <c r="F553" s="107">
        <v>787770</v>
      </c>
      <c r="G553" s="107">
        <v>757770</v>
      </c>
      <c r="H553" s="107">
        <v>727770</v>
      </c>
      <c r="I553" s="107">
        <v>697770</v>
      </c>
      <c r="J553" s="107">
        <v>667770</v>
      </c>
      <c r="K553" s="107">
        <v>637770</v>
      </c>
      <c r="L553" s="107">
        <v>607770</v>
      </c>
      <c r="M553" s="107">
        <v>577770</v>
      </c>
    </row>
    <row r="554" spans="1:13" s="114" customFormat="1">
      <c r="A554" s="107">
        <v>8040</v>
      </c>
      <c r="B554" s="107">
        <v>8060</v>
      </c>
      <c r="C554" s="107">
        <v>1013580</v>
      </c>
      <c r="D554" s="107">
        <v>963920</v>
      </c>
      <c r="E554" s="107">
        <v>822000</v>
      </c>
      <c r="F554" s="107">
        <v>792000</v>
      </c>
      <c r="G554" s="107">
        <v>762000</v>
      </c>
      <c r="H554" s="107">
        <v>732000</v>
      </c>
      <c r="I554" s="107">
        <v>702000</v>
      </c>
      <c r="J554" s="107">
        <v>672000</v>
      </c>
      <c r="K554" s="107">
        <v>642000</v>
      </c>
      <c r="L554" s="107">
        <v>612000</v>
      </c>
      <c r="M554" s="107">
        <v>582000</v>
      </c>
    </row>
    <row r="555" spans="1:13" s="114" customFormat="1">
      <c r="A555" s="107">
        <v>8060</v>
      </c>
      <c r="B555" s="107">
        <v>8080</v>
      </c>
      <c r="C555" s="107">
        <v>1018110</v>
      </c>
      <c r="D555" s="107">
        <v>968430</v>
      </c>
      <c r="E555" s="107">
        <v>826220</v>
      </c>
      <c r="F555" s="107">
        <v>796220</v>
      </c>
      <c r="G555" s="107">
        <v>766220</v>
      </c>
      <c r="H555" s="107">
        <v>736220</v>
      </c>
      <c r="I555" s="107">
        <v>706220</v>
      </c>
      <c r="J555" s="107">
        <v>676220</v>
      </c>
      <c r="K555" s="107">
        <v>646220</v>
      </c>
      <c r="L555" s="107">
        <v>616220</v>
      </c>
      <c r="M555" s="107">
        <v>586220</v>
      </c>
    </row>
    <row r="556" spans="1:13" s="114" customFormat="1">
      <c r="A556" s="107">
        <v>8080</v>
      </c>
      <c r="B556" s="107">
        <v>8100</v>
      </c>
      <c r="C556" s="107">
        <v>1022650</v>
      </c>
      <c r="D556" s="107">
        <v>972940</v>
      </c>
      <c r="E556" s="107">
        <v>830440</v>
      </c>
      <c r="F556" s="107">
        <v>800440</v>
      </c>
      <c r="G556" s="107">
        <v>770440</v>
      </c>
      <c r="H556" s="107">
        <v>740440</v>
      </c>
      <c r="I556" s="107">
        <v>710440</v>
      </c>
      <c r="J556" s="107">
        <v>680440</v>
      </c>
      <c r="K556" s="107">
        <v>650440</v>
      </c>
      <c r="L556" s="107">
        <v>620440</v>
      </c>
      <c r="M556" s="107">
        <v>590440</v>
      </c>
    </row>
    <row r="557" spans="1:13" s="114" customFormat="1">
      <c r="A557" s="107">
        <v>8100</v>
      </c>
      <c r="B557" s="107">
        <v>8120</v>
      </c>
      <c r="C557" s="107">
        <v>1027180</v>
      </c>
      <c r="D557" s="107">
        <v>977450</v>
      </c>
      <c r="E557" s="107">
        <v>834670</v>
      </c>
      <c r="F557" s="107">
        <v>804670</v>
      </c>
      <c r="G557" s="107">
        <v>774670</v>
      </c>
      <c r="H557" s="107">
        <v>744670</v>
      </c>
      <c r="I557" s="107">
        <v>714670</v>
      </c>
      <c r="J557" s="107">
        <v>684670</v>
      </c>
      <c r="K557" s="107">
        <v>654670</v>
      </c>
      <c r="L557" s="107">
        <v>624670</v>
      </c>
      <c r="M557" s="107">
        <v>594670</v>
      </c>
    </row>
    <row r="558" spans="1:13" s="114" customFormat="1">
      <c r="A558" s="107">
        <v>8120</v>
      </c>
      <c r="B558" s="107">
        <v>8140</v>
      </c>
      <c r="C558" s="107">
        <v>1031720</v>
      </c>
      <c r="D558" s="107">
        <v>981960</v>
      </c>
      <c r="E558" s="107">
        <v>838890</v>
      </c>
      <c r="F558" s="107">
        <v>808890</v>
      </c>
      <c r="G558" s="107">
        <v>778890</v>
      </c>
      <c r="H558" s="107">
        <v>748890</v>
      </c>
      <c r="I558" s="107">
        <v>718890</v>
      </c>
      <c r="J558" s="107">
        <v>688890</v>
      </c>
      <c r="K558" s="107">
        <v>658890</v>
      </c>
      <c r="L558" s="107">
        <v>628890</v>
      </c>
      <c r="M558" s="107">
        <v>598890</v>
      </c>
    </row>
    <row r="559" spans="1:13" s="114" customFormat="1">
      <c r="A559" s="107">
        <v>8140</v>
      </c>
      <c r="B559" s="107">
        <v>8160</v>
      </c>
      <c r="C559" s="107">
        <v>1036260</v>
      </c>
      <c r="D559" s="107">
        <v>986480</v>
      </c>
      <c r="E559" s="107">
        <v>843120</v>
      </c>
      <c r="F559" s="107">
        <v>813120</v>
      </c>
      <c r="G559" s="107">
        <v>783120</v>
      </c>
      <c r="H559" s="107">
        <v>753120</v>
      </c>
      <c r="I559" s="107">
        <v>723120</v>
      </c>
      <c r="J559" s="107">
        <v>693120</v>
      </c>
      <c r="K559" s="107">
        <v>663120</v>
      </c>
      <c r="L559" s="107">
        <v>633120</v>
      </c>
      <c r="M559" s="107">
        <v>603120</v>
      </c>
    </row>
    <row r="560" spans="1:13" s="114" customFormat="1">
      <c r="A560" s="107">
        <v>8160</v>
      </c>
      <c r="B560" s="107">
        <v>8180</v>
      </c>
      <c r="C560" s="107">
        <v>1040790</v>
      </c>
      <c r="D560" s="107">
        <v>990990</v>
      </c>
      <c r="E560" s="107">
        <v>847340</v>
      </c>
      <c r="F560" s="107">
        <v>817340</v>
      </c>
      <c r="G560" s="107">
        <v>787340</v>
      </c>
      <c r="H560" s="107">
        <v>757340</v>
      </c>
      <c r="I560" s="107">
        <v>727340</v>
      </c>
      <c r="J560" s="107">
        <v>697340</v>
      </c>
      <c r="K560" s="107">
        <v>667340</v>
      </c>
      <c r="L560" s="107">
        <v>637340</v>
      </c>
      <c r="M560" s="107">
        <v>607340</v>
      </c>
    </row>
    <row r="561" spans="1:13" s="114" customFormat="1">
      <c r="A561" s="107">
        <v>8180</v>
      </c>
      <c r="B561" s="107">
        <v>8200</v>
      </c>
      <c r="C561" s="107">
        <v>1045330</v>
      </c>
      <c r="D561" s="107">
        <v>995500</v>
      </c>
      <c r="E561" s="107">
        <v>851560</v>
      </c>
      <c r="F561" s="107">
        <v>821560</v>
      </c>
      <c r="G561" s="107">
        <v>791560</v>
      </c>
      <c r="H561" s="107">
        <v>761560</v>
      </c>
      <c r="I561" s="107">
        <v>731560</v>
      </c>
      <c r="J561" s="107">
        <v>701560</v>
      </c>
      <c r="K561" s="107">
        <v>671560</v>
      </c>
      <c r="L561" s="107">
        <v>641560</v>
      </c>
      <c r="M561" s="107">
        <v>611560</v>
      </c>
    </row>
    <row r="562" spans="1:13" s="114" customFormat="1">
      <c r="A562" s="107">
        <v>8200</v>
      </c>
      <c r="B562" s="107">
        <v>8220</v>
      </c>
      <c r="C562" s="107">
        <v>1049860</v>
      </c>
      <c r="D562" s="107">
        <v>1000010</v>
      </c>
      <c r="E562" s="107">
        <v>855790</v>
      </c>
      <c r="F562" s="107">
        <v>825790</v>
      </c>
      <c r="G562" s="107">
        <v>795790</v>
      </c>
      <c r="H562" s="107">
        <v>765790</v>
      </c>
      <c r="I562" s="107">
        <v>735790</v>
      </c>
      <c r="J562" s="107">
        <v>705790</v>
      </c>
      <c r="K562" s="107">
        <v>675790</v>
      </c>
      <c r="L562" s="107">
        <v>645790</v>
      </c>
      <c r="M562" s="107">
        <v>615790</v>
      </c>
    </row>
    <row r="563" spans="1:13" s="114" customFormat="1">
      <c r="A563" s="107">
        <v>8220</v>
      </c>
      <c r="B563" s="107">
        <v>8240</v>
      </c>
      <c r="C563" s="107">
        <v>1054400</v>
      </c>
      <c r="D563" s="107">
        <v>1004520</v>
      </c>
      <c r="E563" s="107">
        <v>860010</v>
      </c>
      <c r="F563" s="107">
        <v>830010</v>
      </c>
      <c r="G563" s="107">
        <v>800010</v>
      </c>
      <c r="H563" s="107">
        <v>770010</v>
      </c>
      <c r="I563" s="107">
        <v>740010</v>
      </c>
      <c r="J563" s="107">
        <v>710010</v>
      </c>
      <c r="K563" s="107">
        <v>680010</v>
      </c>
      <c r="L563" s="107">
        <v>650010</v>
      </c>
      <c r="M563" s="107">
        <v>620010</v>
      </c>
    </row>
    <row r="564" spans="1:13" s="114" customFormat="1">
      <c r="A564" s="107">
        <v>8240</v>
      </c>
      <c r="B564" s="107">
        <v>8260</v>
      </c>
      <c r="C564" s="107">
        <v>1058940</v>
      </c>
      <c r="D564" s="107">
        <v>1009040</v>
      </c>
      <c r="E564" s="107">
        <v>864240</v>
      </c>
      <c r="F564" s="107">
        <v>834240</v>
      </c>
      <c r="G564" s="107">
        <v>804240</v>
      </c>
      <c r="H564" s="107">
        <v>774240</v>
      </c>
      <c r="I564" s="107">
        <v>744240</v>
      </c>
      <c r="J564" s="107">
        <v>714240</v>
      </c>
      <c r="K564" s="107">
        <v>684240</v>
      </c>
      <c r="L564" s="107">
        <v>654240</v>
      </c>
      <c r="M564" s="107">
        <v>624240</v>
      </c>
    </row>
    <row r="565" spans="1:13" s="114" customFormat="1">
      <c r="A565" s="107">
        <v>8260</v>
      </c>
      <c r="B565" s="107">
        <v>8280</v>
      </c>
      <c r="C565" s="107">
        <v>1063470</v>
      </c>
      <c r="D565" s="107">
        <v>1013550</v>
      </c>
      <c r="E565" s="107">
        <v>868460</v>
      </c>
      <c r="F565" s="107">
        <v>838460</v>
      </c>
      <c r="G565" s="107">
        <v>808460</v>
      </c>
      <c r="H565" s="107">
        <v>778460</v>
      </c>
      <c r="I565" s="107">
        <v>748460</v>
      </c>
      <c r="J565" s="107">
        <v>718460</v>
      </c>
      <c r="K565" s="107">
        <v>688460</v>
      </c>
      <c r="L565" s="107">
        <v>658460</v>
      </c>
      <c r="M565" s="107">
        <v>628460</v>
      </c>
    </row>
    <row r="566" spans="1:13" s="114" customFormat="1">
      <c r="A566" s="107">
        <v>8280</v>
      </c>
      <c r="B566" s="107">
        <v>8300</v>
      </c>
      <c r="C566" s="107">
        <v>1068010</v>
      </c>
      <c r="D566" s="107">
        <v>1018060</v>
      </c>
      <c r="E566" s="107">
        <v>872680</v>
      </c>
      <c r="F566" s="107">
        <v>842680</v>
      </c>
      <c r="G566" s="107">
        <v>812680</v>
      </c>
      <c r="H566" s="107">
        <v>782680</v>
      </c>
      <c r="I566" s="107">
        <v>752680</v>
      </c>
      <c r="J566" s="107">
        <v>722680</v>
      </c>
      <c r="K566" s="107">
        <v>692680</v>
      </c>
      <c r="L566" s="107">
        <v>662680</v>
      </c>
      <c r="M566" s="107">
        <v>632680</v>
      </c>
    </row>
    <row r="567" spans="1:13" s="114" customFormat="1">
      <c r="A567" s="107">
        <v>8300</v>
      </c>
      <c r="B567" s="107">
        <v>8320</v>
      </c>
      <c r="C567" s="107">
        <v>1072540</v>
      </c>
      <c r="D567" s="107">
        <v>1022570</v>
      </c>
      <c r="E567" s="107">
        <v>876910</v>
      </c>
      <c r="F567" s="107">
        <v>846910</v>
      </c>
      <c r="G567" s="107">
        <v>816910</v>
      </c>
      <c r="H567" s="107">
        <v>786910</v>
      </c>
      <c r="I567" s="107">
        <v>756910</v>
      </c>
      <c r="J567" s="107">
        <v>726910</v>
      </c>
      <c r="K567" s="107">
        <v>696910</v>
      </c>
      <c r="L567" s="107">
        <v>666910</v>
      </c>
      <c r="M567" s="107">
        <v>636910</v>
      </c>
    </row>
    <row r="568" spans="1:13" s="114" customFormat="1">
      <c r="A568" s="107">
        <v>8320</v>
      </c>
      <c r="B568" s="107">
        <v>8340</v>
      </c>
      <c r="C568" s="107">
        <v>1077080</v>
      </c>
      <c r="D568" s="107">
        <v>1027080</v>
      </c>
      <c r="E568" s="107">
        <v>881130</v>
      </c>
      <c r="F568" s="107">
        <v>851130</v>
      </c>
      <c r="G568" s="107">
        <v>821130</v>
      </c>
      <c r="H568" s="107">
        <v>791130</v>
      </c>
      <c r="I568" s="107">
        <v>761130</v>
      </c>
      <c r="J568" s="107">
        <v>731130</v>
      </c>
      <c r="K568" s="107">
        <v>701130</v>
      </c>
      <c r="L568" s="107">
        <v>671130</v>
      </c>
      <c r="M568" s="107">
        <v>641130</v>
      </c>
    </row>
    <row r="569" spans="1:13" s="114" customFormat="1">
      <c r="A569" s="107">
        <v>8340</v>
      </c>
      <c r="B569" s="107">
        <v>8360</v>
      </c>
      <c r="C569" s="107">
        <v>1081740</v>
      </c>
      <c r="D569" s="107">
        <v>1031720</v>
      </c>
      <c r="E569" s="107">
        <v>885480</v>
      </c>
      <c r="F569" s="107">
        <v>855480</v>
      </c>
      <c r="G569" s="107">
        <v>825480</v>
      </c>
      <c r="H569" s="107">
        <v>795480</v>
      </c>
      <c r="I569" s="107">
        <v>765480</v>
      </c>
      <c r="J569" s="107">
        <v>735480</v>
      </c>
      <c r="K569" s="107">
        <v>705480</v>
      </c>
      <c r="L569" s="107">
        <v>675480</v>
      </c>
      <c r="M569" s="107">
        <v>645480</v>
      </c>
    </row>
    <row r="570" spans="1:13" s="114" customFormat="1">
      <c r="A570" s="107">
        <v>8360</v>
      </c>
      <c r="B570" s="107">
        <v>8380</v>
      </c>
      <c r="C570" s="107">
        <v>1086420</v>
      </c>
      <c r="D570" s="107">
        <v>1036370</v>
      </c>
      <c r="E570" s="107">
        <v>889840</v>
      </c>
      <c r="F570" s="107">
        <v>859840</v>
      </c>
      <c r="G570" s="107">
        <v>829840</v>
      </c>
      <c r="H570" s="107">
        <v>799840</v>
      </c>
      <c r="I570" s="107">
        <v>769840</v>
      </c>
      <c r="J570" s="107">
        <v>739840</v>
      </c>
      <c r="K570" s="107">
        <v>709840</v>
      </c>
      <c r="L570" s="107">
        <v>679840</v>
      </c>
      <c r="M570" s="107">
        <v>649840</v>
      </c>
    </row>
    <row r="571" spans="1:13" s="114" customFormat="1">
      <c r="A571" s="107">
        <v>8380</v>
      </c>
      <c r="B571" s="107">
        <v>8400</v>
      </c>
      <c r="C571" s="107">
        <v>1091100</v>
      </c>
      <c r="D571" s="107">
        <v>1041030</v>
      </c>
      <c r="E571" s="107">
        <v>894210</v>
      </c>
      <c r="F571" s="107">
        <v>864210</v>
      </c>
      <c r="G571" s="107">
        <v>834210</v>
      </c>
      <c r="H571" s="107">
        <v>804210</v>
      </c>
      <c r="I571" s="107">
        <v>774210</v>
      </c>
      <c r="J571" s="107">
        <v>744210</v>
      </c>
      <c r="K571" s="107">
        <v>714210</v>
      </c>
      <c r="L571" s="107">
        <v>684210</v>
      </c>
      <c r="M571" s="107">
        <v>654210</v>
      </c>
    </row>
    <row r="572" spans="1:13" s="114" customFormat="1">
      <c r="A572" s="107">
        <v>8400</v>
      </c>
      <c r="B572" s="107">
        <v>8420</v>
      </c>
      <c r="C572" s="107">
        <v>1095780</v>
      </c>
      <c r="D572" s="107">
        <v>1045680</v>
      </c>
      <c r="E572" s="107">
        <v>898580</v>
      </c>
      <c r="F572" s="107">
        <v>868580</v>
      </c>
      <c r="G572" s="107">
        <v>838580</v>
      </c>
      <c r="H572" s="107">
        <v>808580</v>
      </c>
      <c r="I572" s="107">
        <v>778580</v>
      </c>
      <c r="J572" s="107">
        <v>748580</v>
      </c>
      <c r="K572" s="107">
        <v>718580</v>
      </c>
      <c r="L572" s="107">
        <v>688580</v>
      </c>
      <c r="M572" s="107">
        <v>658580</v>
      </c>
    </row>
    <row r="573" spans="1:13" s="114" customFormat="1">
      <c r="A573" s="107">
        <v>8420</v>
      </c>
      <c r="B573" s="107">
        <v>8440</v>
      </c>
      <c r="C573" s="107">
        <v>1100460</v>
      </c>
      <c r="D573" s="107">
        <v>1050340</v>
      </c>
      <c r="E573" s="107">
        <v>902950</v>
      </c>
      <c r="F573" s="107">
        <v>872950</v>
      </c>
      <c r="G573" s="107">
        <v>842950</v>
      </c>
      <c r="H573" s="107">
        <v>812950</v>
      </c>
      <c r="I573" s="107">
        <v>782950</v>
      </c>
      <c r="J573" s="107">
        <v>752950</v>
      </c>
      <c r="K573" s="107">
        <v>722950</v>
      </c>
      <c r="L573" s="107">
        <v>692950</v>
      </c>
      <c r="M573" s="107">
        <v>662950</v>
      </c>
    </row>
    <row r="574" spans="1:13" s="114" customFormat="1">
      <c r="A574" s="107">
        <v>8440</v>
      </c>
      <c r="B574" s="107">
        <v>8460</v>
      </c>
      <c r="C574" s="107">
        <v>1105140</v>
      </c>
      <c r="D574" s="107">
        <v>1055000</v>
      </c>
      <c r="E574" s="107">
        <v>907320</v>
      </c>
      <c r="F574" s="107">
        <v>877320</v>
      </c>
      <c r="G574" s="107">
        <v>847320</v>
      </c>
      <c r="H574" s="107">
        <v>817320</v>
      </c>
      <c r="I574" s="107">
        <v>787320</v>
      </c>
      <c r="J574" s="107">
        <v>757320</v>
      </c>
      <c r="K574" s="107">
        <v>727320</v>
      </c>
      <c r="L574" s="107">
        <v>697320</v>
      </c>
      <c r="M574" s="107">
        <v>667320</v>
      </c>
    </row>
    <row r="575" spans="1:13" s="114" customFormat="1">
      <c r="A575" s="107">
        <v>8460</v>
      </c>
      <c r="B575" s="107">
        <v>8480</v>
      </c>
      <c r="C575" s="107">
        <v>1109820</v>
      </c>
      <c r="D575" s="107">
        <v>1059650</v>
      </c>
      <c r="E575" s="107">
        <v>911680</v>
      </c>
      <c r="F575" s="107">
        <v>881680</v>
      </c>
      <c r="G575" s="107">
        <v>851680</v>
      </c>
      <c r="H575" s="107">
        <v>821680</v>
      </c>
      <c r="I575" s="107">
        <v>791680</v>
      </c>
      <c r="J575" s="107">
        <v>761680</v>
      </c>
      <c r="K575" s="107">
        <v>731680</v>
      </c>
      <c r="L575" s="107">
        <v>701680</v>
      </c>
      <c r="M575" s="107">
        <v>671680</v>
      </c>
    </row>
    <row r="576" spans="1:13" s="114" customFormat="1">
      <c r="A576" s="107">
        <v>8480</v>
      </c>
      <c r="B576" s="107">
        <v>8500</v>
      </c>
      <c r="C576" s="107">
        <v>1114500</v>
      </c>
      <c r="D576" s="107">
        <v>1064310</v>
      </c>
      <c r="E576" s="107">
        <v>916050</v>
      </c>
      <c r="F576" s="107">
        <v>886050</v>
      </c>
      <c r="G576" s="107">
        <v>856050</v>
      </c>
      <c r="H576" s="107">
        <v>826050</v>
      </c>
      <c r="I576" s="107">
        <v>796050</v>
      </c>
      <c r="J576" s="107">
        <v>766050</v>
      </c>
      <c r="K576" s="107">
        <v>736050</v>
      </c>
      <c r="L576" s="107">
        <v>706050</v>
      </c>
      <c r="M576" s="107">
        <v>676050</v>
      </c>
    </row>
    <row r="577" spans="1:13" s="114" customFormat="1">
      <c r="A577" s="107">
        <v>8500</v>
      </c>
      <c r="B577" s="107">
        <v>8520</v>
      </c>
      <c r="C577" s="107">
        <v>1119180</v>
      </c>
      <c r="D577" s="107">
        <v>1068960</v>
      </c>
      <c r="E577" s="107">
        <v>920420</v>
      </c>
      <c r="F577" s="107">
        <v>890420</v>
      </c>
      <c r="G577" s="107">
        <v>860420</v>
      </c>
      <c r="H577" s="107">
        <v>830420</v>
      </c>
      <c r="I577" s="107">
        <v>800420</v>
      </c>
      <c r="J577" s="107">
        <v>770420</v>
      </c>
      <c r="K577" s="107">
        <v>740420</v>
      </c>
      <c r="L577" s="107">
        <v>710420</v>
      </c>
      <c r="M577" s="107">
        <v>680420</v>
      </c>
    </row>
    <row r="578" spans="1:13" s="114" customFormat="1">
      <c r="A578" s="107">
        <v>8520</v>
      </c>
      <c r="B578" s="107">
        <v>8540</v>
      </c>
      <c r="C578" s="107">
        <v>1123860</v>
      </c>
      <c r="D578" s="107">
        <v>1073620</v>
      </c>
      <c r="E578" s="107">
        <v>924790</v>
      </c>
      <c r="F578" s="107">
        <v>894790</v>
      </c>
      <c r="G578" s="107">
        <v>864790</v>
      </c>
      <c r="H578" s="107">
        <v>834790</v>
      </c>
      <c r="I578" s="107">
        <v>804790</v>
      </c>
      <c r="J578" s="107">
        <v>774790</v>
      </c>
      <c r="K578" s="107">
        <v>744790</v>
      </c>
      <c r="L578" s="107">
        <v>714790</v>
      </c>
      <c r="M578" s="107">
        <v>684790</v>
      </c>
    </row>
    <row r="579" spans="1:13" s="114" customFormat="1">
      <c r="A579" s="107">
        <v>8540</v>
      </c>
      <c r="B579" s="107">
        <v>8560</v>
      </c>
      <c r="C579" s="107">
        <v>1128540</v>
      </c>
      <c r="D579" s="107">
        <v>1078280</v>
      </c>
      <c r="E579" s="107">
        <v>929160</v>
      </c>
      <c r="F579" s="107">
        <v>899160</v>
      </c>
      <c r="G579" s="107">
        <v>869160</v>
      </c>
      <c r="H579" s="107">
        <v>839160</v>
      </c>
      <c r="I579" s="107">
        <v>809160</v>
      </c>
      <c r="J579" s="107">
        <v>779160</v>
      </c>
      <c r="K579" s="107">
        <v>749160</v>
      </c>
      <c r="L579" s="107">
        <v>719160</v>
      </c>
      <c r="M579" s="107">
        <v>689160</v>
      </c>
    </row>
    <row r="580" spans="1:13" s="114" customFormat="1">
      <c r="A580" s="107">
        <v>8560</v>
      </c>
      <c r="B580" s="107">
        <v>8580</v>
      </c>
      <c r="C580" s="107">
        <v>1133220</v>
      </c>
      <c r="D580" s="107">
        <v>1082930</v>
      </c>
      <c r="E580" s="107">
        <v>933520</v>
      </c>
      <c r="F580" s="107">
        <v>903520</v>
      </c>
      <c r="G580" s="107">
        <v>873520</v>
      </c>
      <c r="H580" s="107">
        <v>843520</v>
      </c>
      <c r="I580" s="107">
        <v>813520</v>
      </c>
      <c r="J580" s="107">
        <v>783520</v>
      </c>
      <c r="K580" s="107">
        <v>753520</v>
      </c>
      <c r="L580" s="107">
        <v>723520</v>
      </c>
      <c r="M580" s="107">
        <v>693520</v>
      </c>
    </row>
    <row r="581" spans="1:13" s="114" customFormat="1">
      <c r="A581" s="107">
        <v>8580</v>
      </c>
      <c r="B581" s="107">
        <v>8600</v>
      </c>
      <c r="C581" s="107">
        <v>1137900</v>
      </c>
      <c r="D581" s="107">
        <v>1087590</v>
      </c>
      <c r="E581" s="107">
        <v>937890</v>
      </c>
      <c r="F581" s="107">
        <v>907890</v>
      </c>
      <c r="G581" s="107">
        <v>877890</v>
      </c>
      <c r="H581" s="107">
        <v>847890</v>
      </c>
      <c r="I581" s="107">
        <v>817890</v>
      </c>
      <c r="J581" s="107">
        <v>787890</v>
      </c>
      <c r="K581" s="107">
        <v>757890</v>
      </c>
      <c r="L581" s="107">
        <v>727890</v>
      </c>
      <c r="M581" s="107">
        <v>697890</v>
      </c>
    </row>
    <row r="582" spans="1:13" s="114" customFormat="1">
      <c r="A582" s="107">
        <v>8600</v>
      </c>
      <c r="B582" s="107">
        <v>8620</v>
      </c>
      <c r="C582" s="107">
        <v>1142580</v>
      </c>
      <c r="D582" s="107">
        <v>1092240</v>
      </c>
      <c r="E582" s="107">
        <v>942260</v>
      </c>
      <c r="F582" s="107">
        <v>912260</v>
      </c>
      <c r="G582" s="107">
        <v>882260</v>
      </c>
      <c r="H582" s="107">
        <v>852260</v>
      </c>
      <c r="I582" s="107">
        <v>822260</v>
      </c>
      <c r="J582" s="107">
        <v>792260</v>
      </c>
      <c r="K582" s="107">
        <v>762260</v>
      </c>
      <c r="L582" s="107">
        <v>732260</v>
      </c>
      <c r="M582" s="107">
        <v>702260</v>
      </c>
    </row>
    <row r="583" spans="1:13" s="114" customFormat="1">
      <c r="A583" s="107">
        <v>8620</v>
      </c>
      <c r="B583" s="107">
        <v>8640</v>
      </c>
      <c r="C583" s="107">
        <v>1147260</v>
      </c>
      <c r="D583" s="107">
        <v>1096900</v>
      </c>
      <c r="E583" s="107">
        <v>946630</v>
      </c>
      <c r="F583" s="107">
        <v>916630</v>
      </c>
      <c r="G583" s="107">
        <v>886630</v>
      </c>
      <c r="H583" s="107">
        <v>856630</v>
      </c>
      <c r="I583" s="107">
        <v>826630</v>
      </c>
      <c r="J583" s="107">
        <v>796630</v>
      </c>
      <c r="K583" s="107">
        <v>766630</v>
      </c>
      <c r="L583" s="107">
        <v>736630</v>
      </c>
      <c r="M583" s="107">
        <v>706630</v>
      </c>
    </row>
    <row r="584" spans="1:13" s="114" customFormat="1">
      <c r="A584" s="107">
        <v>8640</v>
      </c>
      <c r="B584" s="107">
        <v>8660</v>
      </c>
      <c r="C584" s="107">
        <v>1151940</v>
      </c>
      <c r="D584" s="107">
        <v>1101560</v>
      </c>
      <c r="E584" s="107">
        <v>951000</v>
      </c>
      <c r="F584" s="107">
        <v>921000</v>
      </c>
      <c r="G584" s="107">
        <v>891000</v>
      </c>
      <c r="H584" s="107">
        <v>861000</v>
      </c>
      <c r="I584" s="107">
        <v>831000</v>
      </c>
      <c r="J584" s="107">
        <v>801000</v>
      </c>
      <c r="K584" s="107">
        <v>771000</v>
      </c>
      <c r="L584" s="107">
        <v>741000</v>
      </c>
      <c r="M584" s="107">
        <v>711000</v>
      </c>
    </row>
    <row r="585" spans="1:13" s="114" customFormat="1">
      <c r="A585" s="107">
        <v>8660</v>
      </c>
      <c r="B585" s="107">
        <v>8680</v>
      </c>
      <c r="C585" s="107">
        <v>1156620</v>
      </c>
      <c r="D585" s="107">
        <v>1106210</v>
      </c>
      <c r="E585" s="107">
        <v>955360</v>
      </c>
      <c r="F585" s="107">
        <v>925360</v>
      </c>
      <c r="G585" s="107">
        <v>895360</v>
      </c>
      <c r="H585" s="107">
        <v>865360</v>
      </c>
      <c r="I585" s="107">
        <v>835360</v>
      </c>
      <c r="J585" s="107">
        <v>805360</v>
      </c>
      <c r="K585" s="107">
        <v>775360</v>
      </c>
      <c r="L585" s="107">
        <v>745360</v>
      </c>
      <c r="M585" s="107">
        <v>715360</v>
      </c>
    </row>
    <row r="586" spans="1:13" s="114" customFormat="1">
      <c r="A586" s="107">
        <v>8680</v>
      </c>
      <c r="B586" s="107">
        <v>8700</v>
      </c>
      <c r="C586" s="107">
        <v>1161300</v>
      </c>
      <c r="D586" s="107">
        <v>1110870</v>
      </c>
      <c r="E586" s="107">
        <v>959730</v>
      </c>
      <c r="F586" s="107">
        <v>929730</v>
      </c>
      <c r="G586" s="107">
        <v>899730</v>
      </c>
      <c r="H586" s="107">
        <v>869730</v>
      </c>
      <c r="I586" s="107">
        <v>839730</v>
      </c>
      <c r="J586" s="107">
        <v>809730</v>
      </c>
      <c r="K586" s="107">
        <v>779730</v>
      </c>
      <c r="L586" s="107">
        <v>749730</v>
      </c>
      <c r="M586" s="107">
        <v>719730</v>
      </c>
    </row>
    <row r="587" spans="1:13" s="114" customFormat="1">
      <c r="A587" s="107">
        <v>8700</v>
      </c>
      <c r="B587" s="107">
        <v>8720</v>
      </c>
      <c r="C587" s="107">
        <v>1165980</v>
      </c>
      <c r="D587" s="107">
        <v>1115520</v>
      </c>
      <c r="E587" s="107">
        <v>964100</v>
      </c>
      <c r="F587" s="107">
        <v>934100</v>
      </c>
      <c r="G587" s="107">
        <v>904100</v>
      </c>
      <c r="H587" s="107">
        <v>874100</v>
      </c>
      <c r="I587" s="107">
        <v>844100</v>
      </c>
      <c r="J587" s="107">
        <v>814100</v>
      </c>
      <c r="K587" s="107">
        <v>784100</v>
      </c>
      <c r="L587" s="107">
        <v>754100</v>
      </c>
      <c r="M587" s="107">
        <v>724100</v>
      </c>
    </row>
    <row r="588" spans="1:13" s="114" customFormat="1">
      <c r="A588" s="107">
        <v>8720</v>
      </c>
      <c r="B588" s="107">
        <v>8740</v>
      </c>
      <c r="C588" s="107">
        <v>1170660</v>
      </c>
      <c r="D588" s="107">
        <v>1120180</v>
      </c>
      <c r="E588" s="107">
        <v>968470</v>
      </c>
      <c r="F588" s="107">
        <v>938470</v>
      </c>
      <c r="G588" s="107">
        <v>908470</v>
      </c>
      <c r="H588" s="107">
        <v>878470</v>
      </c>
      <c r="I588" s="107">
        <v>848470</v>
      </c>
      <c r="J588" s="107">
        <v>818470</v>
      </c>
      <c r="K588" s="107">
        <v>788470</v>
      </c>
      <c r="L588" s="107">
        <v>758470</v>
      </c>
      <c r="M588" s="107">
        <v>728470</v>
      </c>
    </row>
    <row r="589" spans="1:13" s="114" customFormat="1">
      <c r="A589" s="107">
        <v>8740</v>
      </c>
      <c r="B589" s="107">
        <v>8760</v>
      </c>
      <c r="C589" s="107">
        <v>1175340</v>
      </c>
      <c r="D589" s="107">
        <v>1124840</v>
      </c>
      <c r="E589" s="107">
        <v>972840</v>
      </c>
      <c r="F589" s="107">
        <v>942840</v>
      </c>
      <c r="G589" s="107">
        <v>912840</v>
      </c>
      <c r="H589" s="107">
        <v>882840</v>
      </c>
      <c r="I589" s="107">
        <v>852840</v>
      </c>
      <c r="J589" s="107">
        <v>822840</v>
      </c>
      <c r="K589" s="107">
        <v>792840</v>
      </c>
      <c r="L589" s="107">
        <v>762840</v>
      </c>
      <c r="M589" s="107">
        <v>732840</v>
      </c>
    </row>
    <row r="590" spans="1:13" s="114" customFormat="1">
      <c r="A590" s="107">
        <v>8760</v>
      </c>
      <c r="B590" s="107">
        <v>8780</v>
      </c>
      <c r="C590" s="107">
        <v>1180020</v>
      </c>
      <c r="D590" s="107">
        <v>1129490</v>
      </c>
      <c r="E590" s="107">
        <v>977200</v>
      </c>
      <c r="F590" s="107">
        <v>947200</v>
      </c>
      <c r="G590" s="107">
        <v>917200</v>
      </c>
      <c r="H590" s="107">
        <v>887200</v>
      </c>
      <c r="I590" s="107">
        <v>857200</v>
      </c>
      <c r="J590" s="107">
        <v>827200</v>
      </c>
      <c r="K590" s="107">
        <v>797200</v>
      </c>
      <c r="L590" s="107">
        <v>767200</v>
      </c>
      <c r="M590" s="107">
        <v>737200</v>
      </c>
    </row>
    <row r="591" spans="1:13" s="114" customFormat="1">
      <c r="A591" s="107">
        <v>8780</v>
      </c>
      <c r="B591" s="107">
        <v>8800</v>
      </c>
      <c r="C591" s="107">
        <v>1184700</v>
      </c>
      <c r="D591" s="107">
        <v>1134150</v>
      </c>
      <c r="E591" s="107">
        <v>981570</v>
      </c>
      <c r="F591" s="107">
        <v>951570</v>
      </c>
      <c r="G591" s="107">
        <v>921570</v>
      </c>
      <c r="H591" s="107">
        <v>891570</v>
      </c>
      <c r="I591" s="107">
        <v>861570</v>
      </c>
      <c r="J591" s="107">
        <v>831570</v>
      </c>
      <c r="K591" s="107">
        <v>801570</v>
      </c>
      <c r="L591" s="107">
        <v>771570</v>
      </c>
      <c r="M591" s="107">
        <v>741570</v>
      </c>
    </row>
    <row r="592" spans="1:13" s="114" customFormat="1">
      <c r="A592" s="107">
        <v>8800</v>
      </c>
      <c r="B592" s="107">
        <v>8820</v>
      </c>
      <c r="C592" s="107">
        <v>1189380</v>
      </c>
      <c r="D592" s="107">
        <v>1138800</v>
      </c>
      <c r="E592" s="107">
        <v>985940</v>
      </c>
      <c r="F592" s="107">
        <v>955940</v>
      </c>
      <c r="G592" s="107">
        <v>925940</v>
      </c>
      <c r="H592" s="107">
        <v>895940</v>
      </c>
      <c r="I592" s="107">
        <v>865940</v>
      </c>
      <c r="J592" s="107">
        <v>835940</v>
      </c>
      <c r="K592" s="107">
        <v>805940</v>
      </c>
      <c r="L592" s="107">
        <v>775940</v>
      </c>
      <c r="M592" s="107">
        <v>745940</v>
      </c>
    </row>
    <row r="593" spans="1:13" s="114" customFormat="1">
      <c r="A593" s="107">
        <v>8820</v>
      </c>
      <c r="B593" s="107">
        <v>8840</v>
      </c>
      <c r="C593" s="107">
        <v>1194060</v>
      </c>
      <c r="D593" s="107">
        <v>1143460</v>
      </c>
      <c r="E593" s="107">
        <v>990310</v>
      </c>
      <c r="F593" s="107">
        <v>960310</v>
      </c>
      <c r="G593" s="107">
        <v>930310</v>
      </c>
      <c r="H593" s="107">
        <v>900310</v>
      </c>
      <c r="I593" s="107">
        <v>870310</v>
      </c>
      <c r="J593" s="107">
        <v>840310</v>
      </c>
      <c r="K593" s="107">
        <v>810310</v>
      </c>
      <c r="L593" s="107">
        <v>780310</v>
      </c>
      <c r="M593" s="107">
        <v>750310</v>
      </c>
    </row>
    <row r="594" spans="1:13" s="114" customFormat="1">
      <c r="A594" s="107">
        <v>8840</v>
      </c>
      <c r="B594" s="107">
        <v>8860</v>
      </c>
      <c r="C594" s="107">
        <v>1198740</v>
      </c>
      <c r="D594" s="107">
        <v>1148120</v>
      </c>
      <c r="E594" s="107">
        <v>994680</v>
      </c>
      <c r="F594" s="107">
        <v>964680</v>
      </c>
      <c r="G594" s="107">
        <v>934680</v>
      </c>
      <c r="H594" s="107">
        <v>904680</v>
      </c>
      <c r="I594" s="107">
        <v>874680</v>
      </c>
      <c r="J594" s="107">
        <v>844680</v>
      </c>
      <c r="K594" s="107">
        <v>814680</v>
      </c>
      <c r="L594" s="107">
        <v>784680</v>
      </c>
      <c r="M594" s="107">
        <v>754680</v>
      </c>
    </row>
    <row r="595" spans="1:13" s="114" customFormat="1">
      <c r="A595" s="107">
        <v>8860</v>
      </c>
      <c r="B595" s="107">
        <v>8880</v>
      </c>
      <c r="C595" s="107">
        <v>1203420</v>
      </c>
      <c r="D595" s="107">
        <v>1152770</v>
      </c>
      <c r="E595" s="107">
        <v>999040</v>
      </c>
      <c r="F595" s="107">
        <v>969040</v>
      </c>
      <c r="G595" s="107">
        <v>939040</v>
      </c>
      <c r="H595" s="107">
        <v>909040</v>
      </c>
      <c r="I595" s="107">
        <v>879040</v>
      </c>
      <c r="J595" s="107">
        <v>849040</v>
      </c>
      <c r="K595" s="107">
        <v>819040</v>
      </c>
      <c r="L595" s="107">
        <v>789040</v>
      </c>
      <c r="M595" s="107">
        <v>759040</v>
      </c>
    </row>
    <row r="596" spans="1:13" s="114" customFormat="1">
      <c r="A596" s="107">
        <v>8880</v>
      </c>
      <c r="B596" s="107">
        <v>8900</v>
      </c>
      <c r="C596" s="107">
        <v>1208100</v>
      </c>
      <c r="D596" s="107">
        <v>1157430</v>
      </c>
      <c r="E596" s="107">
        <v>1003410</v>
      </c>
      <c r="F596" s="107">
        <v>973410</v>
      </c>
      <c r="G596" s="107">
        <v>943410</v>
      </c>
      <c r="H596" s="107">
        <v>913410</v>
      </c>
      <c r="I596" s="107">
        <v>883410</v>
      </c>
      <c r="J596" s="107">
        <v>853410</v>
      </c>
      <c r="K596" s="107">
        <v>823410</v>
      </c>
      <c r="L596" s="107">
        <v>793410</v>
      </c>
      <c r="M596" s="107">
        <v>763410</v>
      </c>
    </row>
    <row r="597" spans="1:13" s="114" customFormat="1">
      <c r="A597" s="107">
        <v>8900</v>
      </c>
      <c r="B597" s="107">
        <v>8920</v>
      </c>
      <c r="C597" s="107">
        <v>1212780</v>
      </c>
      <c r="D597" s="107">
        <v>1162080</v>
      </c>
      <c r="E597" s="107">
        <v>1007780</v>
      </c>
      <c r="F597" s="107">
        <v>977780</v>
      </c>
      <c r="G597" s="107">
        <v>947780</v>
      </c>
      <c r="H597" s="107">
        <v>917780</v>
      </c>
      <c r="I597" s="107">
        <v>887780</v>
      </c>
      <c r="J597" s="107">
        <v>857780</v>
      </c>
      <c r="K597" s="107">
        <v>827780</v>
      </c>
      <c r="L597" s="107">
        <v>797780</v>
      </c>
      <c r="M597" s="107">
        <v>767780</v>
      </c>
    </row>
    <row r="598" spans="1:13" s="114" customFormat="1">
      <c r="A598" s="107">
        <v>8920</v>
      </c>
      <c r="B598" s="107">
        <v>8940</v>
      </c>
      <c r="C598" s="107">
        <v>1217460</v>
      </c>
      <c r="D598" s="107">
        <v>1166740</v>
      </c>
      <c r="E598" s="107">
        <v>1012150</v>
      </c>
      <c r="F598" s="107">
        <v>982150</v>
      </c>
      <c r="G598" s="107">
        <v>952150</v>
      </c>
      <c r="H598" s="107">
        <v>922150</v>
      </c>
      <c r="I598" s="107">
        <v>892150</v>
      </c>
      <c r="J598" s="107">
        <v>862150</v>
      </c>
      <c r="K598" s="107">
        <v>832150</v>
      </c>
      <c r="L598" s="107">
        <v>802150</v>
      </c>
      <c r="M598" s="107">
        <v>772150</v>
      </c>
    </row>
    <row r="599" spans="1:13" s="114" customFormat="1">
      <c r="A599" s="107">
        <v>8940</v>
      </c>
      <c r="B599" s="107">
        <v>8960</v>
      </c>
      <c r="C599" s="107">
        <v>1222140</v>
      </c>
      <c r="D599" s="107">
        <v>1171400</v>
      </c>
      <c r="E599" s="107">
        <v>1016520</v>
      </c>
      <c r="F599" s="107">
        <v>986520</v>
      </c>
      <c r="G599" s="107">
        <v>956520</v>
      </c>
      <c r="H599" s="107">
        <v>926520</v>
      </c>
      <c r="I599" s="107">
        <v>896520</v>
      </c>
      <c r="J599" s="107">
        <v>866520</v>
      </c>
      <c r="K599" s="107">
        <v>836520</v>
      </c>
      <c r="L599" s="107">
        <v>806520</v>
      </c>
      <c r="M599" s="107">
        <v>776520</v>
      </c>
    </row>
    <row r="600" spans="1:13" s="114" customFormat="1">
      <c r="A600" s="107">
        <v>8960</v>
      </c>
      <c r="B600" s="107">
        <v>8980</v>
      </c>
      <c r="C600" s="107">
        <v>1226820</v>
      </c>
      <c r="D600" s="107">
        <v>1176050</v>
      </c>
      <c r="E600" s="107">
        <v>1020880</v>
      </c>
      <c r="F600" s="107">
        <v>990880</v>
      </c>
      <c r="G600" s="107">
        <v>960880</v>
      </c>
      <c r="H600" s="107">
        <v>930880</v>
      </c>
      <c r="I600" s="107">
        <v>900880</v>
      </c>
      <c r="J600" s="107">
        <v>870880</v>
      </c>
      <c r="K600" s="107">
        <v>840880</v>
      </c>
      <c r="L600" s="107">
        <v>810880</v>
      </c>
      <c r="M600" s="107">
        <v>780880</v>
      </c>
    </row>
    <row r="601" spans="1:13" s="114" customFormat="1">
      <c r="A601" s="107">
        <v>8980</v>
      </c>
      <c r="B601" s="107">
        <v>9000</v>
      </c>
      <c r="C601" s="107">
        <v>1231500</v>
      </c>
      <c r="D601" s="107">
        <v>1180710</v>
      </c>
      <c r="E601" s="107">
        <v>1025250</v>
      </c>
      <c r="F601" s="107">
        <v>995250</v>
      </c>
      <c r="G601" s="107">
        <v>965250</v>
      </c>
      <c r="H601" s="107">
        <v>935250</v>
      </c>
      <c r="I601" s="107">
        <v>905250</v>
      </c>
      <c r="J601" s="107">
        <v>875250</v>
      </c>
      <c r="K601" s="107">
        <v>845250</v>
      </c>
      <c r="L601" s="107">
        <v>815250</v>
      </c>
      <c r="M601" s="107">
        <v>785250</v>
      </c>
    </row>
    <row r="602" spans="1:13" s="114" customFormat="1">
      <c r="A602" s="107">
        <v>9000</v>
      </c>
      <c r="B602" s="107">
        <v>9020</v>
      </c>
      <c r="C602" s="107">
        <v>1236180</v>
      </c>
      <c r="D602" s="107">
        <v>1185360</v>
      </c>
      <c r="E602" s="107">
        <v>1029620</v>
      </c>
      <c r="F602" s="107">
        <v>999620</v>
      </c>
      <c r="G602" s="107">
        <v>969620</v>
      </c>
      <c r="H602" s="107">
        <v>939620</v>
      </c>
      <c r="I602" s="107">
        <v>909620</v>
      </c>
      <c r="J602" s="107">
        <v>879620</v>
      </c>
      <c r="K602" s="107">
        <v>849620</v>
      </c>
      <c r="L602" s="107">
        <v>819620</v>
      </c>
      <c r="M602" s="107">
        <v>789620</v>
      </c>
    </row>
    <row r="603" spans="1:13" s="114" customFormat="1">
      <c r="A603" s="107">
        <v>9020</v>
      </c>
      <c r="B603" s="107">
        <v>9040</v>
      </c>
      <c r="C603" s="107">
        <v>1240860</v>
      </c>
      <c r="D603" s="107">
        <v>1190020</v>
      </c>
      <c r="E603" s="107">
        <v>1033990</v>
      </c>
      <c r="F603" s="107">
        <v>1003990</v>
      </c>
      <c r="G603" s="107">
        <v>973990</v>
      </c>
      <c r="H603" s="107">
        <v>943990</v>
      </c>
      <c r="I603" s="107">
        <v>913990</v>
      </c>
      <c r="J603" s="107">
        <v>883990</v>
      </c>
      <c r="K603" s="107">
        <v>853990</v>
      </c>
      <c r="L603" s="107">
        <v>823990</v>
      </c>
      <c r="M603" s="107">
        <v>793990</v>
      </c>
    </row>
    <row r="604" spans="1:13" s="114" customFormat="1">
      <c r="A604" s="107">
        <v>9040</v>
      </c>
      <c r="B604" s="107">
        <v>9060</v>
      </c>
      <c r="C604" s="107">
        <v>1245540</v>
      </c>
      <c r="D604" s="107">
        <v>1194680</v>
      </c>
      <c r="E604" s="107">
        <v>1038360</v>
      </c>
      <c r="F604" s="107">
        <v>1008360</v>
      </c>
      <c r="G604" s="107">
        <v>978360</v>
      </c>
      <c r="H604" s="107">
        <v>948360</v>
      </c>
      <c r="I604" s="107">
        <v>918360</v>
      </c>
      <c r="J604" s="107">
        <v>888360</v>
      </c>
      <c r="K604" s="107">
        <v>858360</v>
      </c>
      <c r="L604" s="107">
        <v>828360</v>
      </c>
      <c r="M604" s="107">
        <v>798360</v>
      </c>
    </row>
    <row r="605" spans="1:13" s="114" customFormat="1">
      <c r="A605" s="107">
        <v>9060</v>
      </c>
      <c r="B605" s="107">
        <v>9080</v>
      </c>
      <c r="C605" s="107">
        <v>1250220</v>
      </c>
      <c r="D605" s="107">
        <v>1199330</v>
      </c>
      <c r="E605" s="107">
        <v>1042720</v>
      </c>
      <c r="F605" s="107">
        <v>1012720</v>
      </c>
      <c r="G605" s="107">
        <v>982720</v>
      </c>
      <c r="H605" s="107">
        <v>952720</v>
      </c>
      <c r="I605" s="107">
        <v>922720</v>
      </c>
      <c r="J605" s="107">
        <v>892720</v>
      </c>
      <c r="K605" s="107">
        <v>862720</v>
      </c>
      <c r="L605" s="107">
        <v>832720</v>
      </c>
      <c r="M605" s="107">
        <v>802720</v>
      </c>
    </row>
    <row r="606" spans="1:13" s="114" customFormat="1">
      <c r="A606" s="107">
        <v>9080</v>
      </c>
      <c r="B606" s="107">
        <v>9100</v>
      </c>
      <c r="C606" s="107">
        <v>1254900</v>
      </c>
      <c r="D606" s="107">
        <v>1203990</v>
      </c>
      <c r="E606" s="107">
        <v>1047090</v>
      </c>
      <c r="F606" s="107">
        <v>1017090</v>
      </c>
      <c r="G606" s="107">
        <v>987090</v>
      </c>
      <c r="H606" s="107">
        <v>957090</v>
      </c>
      <c r="I606" s="107">
        <v>927090</v>
      </c>
      <c r="J606" s="107">
        <v>897090</v>
      </c>
      <c r="K606" s="107">
        <v>867090</v>
      </c>
      <c r="L606" s="107">
        <v>837090</v>
      </c>
      <c r="M606" s="107">
        <v>807090</v>
      </c>
    </row>
    <row r="607" spans="1:13" s="114" customFormat="1">
      <c r="A607" s="107">
        <v>9100</v>
      </c>
      <c r="B607" s="107">
        <v>9120</v>
      </c>
      <c r="C607" s="107">
        <v>1259580</v>
      </c>
      <c r="D607" s="107">
        <v>1208640</v>
      </c>
      <c r="E607" s="107">
        <v>1051460</v>
      </c>
      <c r="F607" s="107">
        <v>1021460</v>
      </c>
      <c r="G607" s="107">
        <v>991460</v>
      </c>
      <c r="H607" s="107">
        <v>961460</v>
      </c>
      <c r="I607" s="107">
        <v>931460</v>
      </c>
      <c r="J607" s="107">
        <v>901460</v>
      </c>
      <c r="K607" s="107">
        <v>871460</v>
      </c>
      <c r="L607" s="107">
        <v>841460</v>
      </c>
      <c r="M607" s="107">
        <v>811460</v>
      </c>
    </row>
    <row r="608" spans="1:13" s="114" customFormat="1">
      <c r="A608" s="107">
        <v>9120</v>
      </c>
      <c r="B608" s="107">
        <v>9140</v>
      </c>
      <c r="C608" s="107">
        <v>1264260</v>
      </c>
      <c r="D608" s="107">
        <v>1213300</v>
      </c>
      <c r="E608" s="107">
        <v>1055830</v>
      </c>
      <c r="F608" s="107">
        <v>1025830</v>
      </c>
      <c r="G608" s="107">
        <v>995830</v>
      </c>
      <c r="H608" s="107">
        <v>965830</v>
      </c>
      <c r="I608" s="107">
        <v>935830</v>
      </c>
      <c r="J608" s="107">
        <v>905830</v>
      </c>
      <c r="K608" s="107">
        <v>875830</v>
      </c>
      <c r="L608" s="107">
        <v>845830</v>
      </c>
      <c r="M608" s="107">
        <v>815830</v>
      </c>
    </row>
    <row r="609" spans="1:13" s="114" customFormat="1">
      <c r="A609" s="107">
        <v>9140</v>
      </c>
      <c r="B609" s="107">
        <v>9160</v>
      </c>
      <c r="C609" s="107">
        <v>1268940</v>
      </c>
      <c r="D609" s="107">
        <v>1217960</v>
      </c>
      <c r="E609" s="107">
        <v>1060200</v>
      </c>
      <c r="F609" s="107">
        <v>1030200</v>
      </c>
      <c r="G609" s="107">
        <v>1000200</v>
      </c>
      <c r="H609" s="107">
        <v>970200</v>
      </c>
      <c r="I609" s="107">
        <v>940200</v>
      </c>
      <c r="J609" s="107">
        <v>910200</v>
      </c>
      <c r="K609" s="107">
        <v>880200</v>
      </c>
      <c r="L609" s="107">
        <v>850200</v>
      </c>
      <c r="M609" s="107">
        <v>820200</v>
      </c>
    </row>
    <row r="610" spans="1:13" s="114" customFormat="1">
      <c r="A610" s="107">
        <v>9160</v>
      </c>
      <c r="B610" s="107">
        <v>9180</v>
      </c>
      <c r="C610" s="107">
        <v>1273620</v>
      </c>
      <c r="D610" s="107">
        <v>1222610</v>
      </c>
      <c r="E610" s="107">
        <v>1064560</v>
      </c>
      <c r="F610" s="107">
        <v>1034560</v>
      </c>
      <c r="G610" s="107">
        <v>1004560</v>
      </c>
      <c r="H610" s="107">
        <v>974560</v>
      </c>
      <c r="I610" s="107">
        <v>944560</v>
      </c>
      <c r="J610" s="107">
        <v>914560</v>
      </c>
      <c r="K610" s="107">
        <v>884560</v>
      </c>
      <c r="L610" s="107">
        <v>854560</v>
      </c>
      <c r="M610" s="107">
        <v>824560</v>
      </c>
    </row>
    <row r="611" spans="1:13" s="114" customFormat="1">
      <c r="A611" s="107">
        <v>9180</v>
      </c>
      <c r="B611" s="107">
        <v>9200</v>
      </c>
      <c r="C611" s="107">
        <v>1278300</v>
      </c>
      <c r="D611" s="107">
        <v>1227270</v>
      </c>
      <c r="E611" s="107">
        <v>1068930</v>
      </c>
      <c r="F611" s="107">
        <v>1038930</v>
      </c>
      <c r="G611" s="107">
        <v>1008930</v>
      </c>
      <c r="H611" s="107">
        <v>978930</v>
      </c>
      <c r="I611" s="107">
        <v>948930</v>
      </c>
      <c r="J611" s="107">
        <v>918930</v>
      </c>
      <c r="K611" s="107">
        <v>888930</v>
      </c>
      <c r="L611" s="107">
        <v>858930</v>
      </c>
      <c r="M611" s="107">
        <v>828930</v>
      </c>
    </row>
    <row r="612" spans="1:13" s="114" customFormat="1">
      <c r="A612" s="107">
        <v>9200</v>
      </c>
      <c r="B612" s="107">
        <v>9220</v>
      </c>
      <c r="C612" s="107">
        <v>1282980</v>
      </c>
      <c r="D612" s="107">
        <v>1231920</v>
      </c>
      <c r="E612" s="107">
        <v>1073300</v>
      </c>
      <c r="F612" s="107">
        <v>1043300</v>
      </c>
      <c r="G612" s="107">
        <v>1013300</v>
      </c>
      <c r="H612" s="107">
        <v>983300</v>
      </c>
      <c r="I612" s="107">
        <v>953300</v>
      </c>
      <c r="J612" s="107">
        <v>923300</v>
      </c>
      <c r="K612" s="107">
        <v>893300</v>
      </c>
      <c r="L612" s="107">
        <v>863300</v>
      </c>
      <c r="M612" s="107">
        <v>833300</v>
      </c>
    </row>
    <row r="613" spans="1:13" s="114" customFormat="1">
      <c r="A613" s="107">
        <v>9220</v>
      </c>
      <c r="B613" s="107">
        <v>9240</v>
      </c>
      <c r="C613" s="107">
        <v>1289640</v>
      </c>
      <c r="D613" s="107">
        <v>1236580</v>
      </c>
      <c r="E613" s="107">
        <v>1077670</v>
      </c>
      <c r="F613" s="107">
        <v>1047670</v>
      </c>
      <c r="G613" s="107">
        <v>1017670</v>
      </c>
      <c r="H613" s="107">
        <v>987670</v>
      </c>
      <c r="I613" s="107">
        <v>957670</v>
      </c>
      <c r="J613" s="107">
        <v>927670</v>
      </c>
      <c r="K613" s="107">
        <v>897670</v>
      </c>
      <c r="L613" s="107">
        <v>867670</v>
      </c>
      <c r="M613" s="107">
        <v>837670</v>
      </c>
    </row>
    <row r="614" spans="1:13" s="114" customFormat="1">
      <c r="A614" s="107">
        <v>9240</v>
      </c>
      <c r="B614" s="107">
        <v>9260</v>
      </c>
      <c r="C614" s="107">
        <v>1296470</v>
      </c>
      <c r="D614" s="107">
        <v>1241240</v>
      </c>
      <c r="E614" s="107">
        <v>1082040</v>
      </c>
      <c r="F614" s="107">
        <v>1052040</v>
      </c>
      <c r="G614" s="107">
        <v>1022040</v>
      </c>
      <c r="H614" s="107">
        <v>992040</v>
      </c>
      <c r="I614" s="107">
        <v>962040</v>
      </c>
      <c r="J614" s="107">
        <v>932040</v>
      </c>
      <c r="K614" s="107">
        <v>902040</v>
      </c>
      <c r="L614" s="107">
        <v>872040</v>
      </c>
      <c r="M614" s="107">
        <v>842040</v>
      </c>
    </row>
    <row r="615" spans="1:13" s="114" customFormat="1">
      <c r="A615" s="107">
        <v>9260</v>
      </c>
      <c r="B615" s="107">
        <v>9280</v>
      </c>
      <c r="C615" s="107">
        <v>1303290</v>
      </c>
      <c r="D615" s="107">
        <v>1245890</v>
      </c>
      <c r="E615" s="107">
        <v>1086400</v>
      </c>
      <c r="F615" s="107">
        <v>1056400</v>
      </c>
      <c r="G615" s="107">
        <v>1026400</v>
      </c>
      <c r="H615" s="107">
        <v>996400</v>
      </c>
      <c r="I615" s="107">
        <v>966400</v>
      </c>
      <c r="J615" s="107">
        <v>936400</v>
      </c>
      <c r="K615" s="107">
        <v>906400</v>
      </c>
      <c r="L615" s="107">
        <v>876400</v>
      </c>
      <c r="M615" s="107">
        <v>846400</v>
      </c>
    </row>
    <row r="616" spans="1:13" s="114" customFormat="1">
      <c r="A616" s="107">
        <v>9280</v>
      </c>
      <c r="B616" s="107">
        <v>9300</v>
      </c>
      <c r="C616" s="107">
        <v>1310120</v>
      </c>
      <c r="D616" s="107">
        <v>1250550</v>
      </c>
      <c r="E616" s="107">
        <v>1090770</v>
      </c>
      <c r="F616" s="107">
        <v>1060770</v>
      </c>
      <c r="G616" s="107">
        <v>1030770</v>
      </c>
      <c r="H616" s="107">
        <v>1000770</v>
      </c>
      <c r="I616" s="107">
        <v>970770</v>
      </c>
      <c r="J616" s="107">
        <v>940770</v>
      </c>
      <c r="K616" s="107">
        <v>910770</v>
      </c>
      <c r="L616" s="107">
        <v>880770</v>
      </c>
      <c r="M616" s="107">
        <v>850770</v>
      </c>
    </row>
    <row r="617" spans="1:13" s="114" customFormat="1">
      <c r="A617" s="107">
        <v>9300</v>
      </c>
      <c r="B617" s="107">
        <v>9320</v>
      </c>
      <c r="C617" s="107">
        <v>1316940</v>
      </c>
      <c r="D617" s="107">
        <v>1255200</v>
      </c>
      <c r="E617" s="107">
        <v>1095140</v>
      </c>
      <c r="F617" s="107">
        <v>1065140</v>
      </c>
      <c r="G617" s="107">
        <v>1035140</v>
      </c>
      <c r="H617" s="107">
        <v>1005140</v>
      </c>
      <c r="I617" s="107">
        <v>975140</v>
      </c>
      <c r="J617" s="107">
        <v>945140</v>
      </c>
      <c r="K617" s="107">
        <v>915140</v>
      </c>
      <c r="L617" s="107">
        <v>885140</v>
      </c>
      <c r="M617" s="107">
        <v>855140</v>
      </c>
    </row>
    <row r="618" spans="1:13" s="114" customFormat="1">
      <c r="A618" s="107">
        <v>9320</v>
      </c>
      <c r="B618" s="107">
        <v>9340</v>
      </c>
      <c r="C618" s="107">
        <v>1323770</v>
      </c>
      <c r="D618" s="107">
        <v>1259860</v>
      </c>
      <c r="E618" s="107">
        <v>1099510</v>
      </c>
      <c r="F618" s="107">
        <v>1069510</v>
      </c>
      <c r="G618" s="107">
        <v>1039510</v>
      </c>
      <c r="H618" s="107">
        <v>1009510</v>
      </c>
      <c r="I618" s="107">
        <v>979510</v>
      </c>
      <c r="J618" s="107">
        <v>949510</v>
      </c>
      <c r="K618" s="107">
        <v>919510</v>
      </c>
      <c r="L618" s="107">
        <v>889510</v>
      </c>
      <c r="M618" s="107">
        <v>859510</v>
      </c>
    </row>
    <row r="619" spans="1:13" s="114" customFormat="1">
      <c r="A619" s="107">
        <v>9340</v>
      </c>
      <c r="B619" s="107">
        <v>9360</v>
      </c>
      <c r="C619" s="107">
        <v>1330590</v>
      </c>
      <c r="D619" s="107">
        <v>1264520</v>
      </c>
      <c r="E619" s="107">
        <v>1103880</v>
      </c>
      <c r="F619" s="107">
        <v>1073880</v>
      </c>
      <c r="G619" s="107">
        <v>1043880</v>
      </c>
      <c r="H619" s="107">
        <v>1013880</v>
      </c>
      <c r="I619" s="107">
        <v>983880</v>
      </c>
      <c r="J619" s="107">
        <v>953880</v>
      </c>
      <c r="K619" s="107">
        <v>923880</v>
      </c>
      <c r="L619" s="107">
        <v>893880</v>
      </c>
      <c r="M619" s="107">
        <v>863880</v>
      </c>
    </row>
    <row r="620" spans="1:13" s="114" customFormat="1">
      <c r="A620" s="107">
        <v>9360</v>
      </c>
      <c r="B620" s="107">
        <v>9380</v>
      </c>
      <c r="C620" s="107">
        <v>1337420</v>
      </c>
      <c r="D620" s="107">
        <v>1269170</v>
      </c>
      <c r="E620" s="107">
        <v>1108240</v>
      </c>
      <c r="F620" s="107">
        <v>1078240</v>
      </c>
      <c r="G620" s="107">
        <v>1048240</v>
      </c>
      <c r="H620" s="107">
        <v>1018240</v>
      </c>
      <c r="I620" s="107">
        <v>988240</v>
      </c>
      <c r="J620" s="107">
        <v>958240</v>
      </c>
      <c r="K620" s="107">
        <v>928240</v>
      </c>
      <c r="L620" s="107">
        <v>898240</v>
      </c>
      <c r="M620" s="107">
        <v>868240</v>
      </c>
    </row>
    <row r="621" spans="1:13" s="114" customFormat="1">
      <c r="A621" s="107">
        <v>9380</v>
      </c>
      <c r="B621" s="107">
        <v>9400</v>
      </c>
      <c r="C621" s="107">
        <v>1344240</v>
      </c>
      <c r="D621" s="107">
        <v>1273830</v>
      </c>
      <c r="E621" s="107">
        <v>1112610</v>
      </c>
      <c r="F621" s="107">
        <v>1082610</v>
      </c>
      <c r="G621" s="107">
        <v>1052610</v>
      </c>
      <c r="H621" s="107">
        <v>1022610</v>
      </c>
      <c r="I621" s="107">
        <v>992610</v>
      </c>
      <c r="J621" s="107">
        <v>962610</v>
      </c>
      <c r="K621" s="107">
        <v>932610</v>
      </c>
      <c r="L621" s="107">
        <v>902610</v>
      </c>
      <c r="M621" s="107">
        <v>872610</v>
      </c>
    </row>
    <row r="622" spans="1:13" s="114" customFormat="1">
      <c r="A622" s="107">
        <v>9400</v>
      </c>
      <c r="B622" s="107">
        <v>9420</v>
      </c>
      <c r="C622" s="107">
        <v>1351070</v>
      </c>
      <c r="D622" s="107">
        <v>1278480</v>
      </c>
      <c r="E622" s="107">
        <v>1116980</v>
      </c>
      <c r="F622" s="107">
        <v>1086980</v>
      </c>
      <c r="G622" s="107">
        <v>1056980</v>
      </c>
      <c r="H622" s="107">
        <v>1026980</v>
      </c>
      <c r="I622" s="107">
        <v>996980</v>
      </c>
      <c r="J622" s="107">
        <v>966980</v>
      </c>
      <c r="K622" s="107">
        <v>936980</v>
      </c>
      <c r="L622" s="107">
        <v>906980</v>
      </c>
      <c r="M622" s="107">
        <v>876980</v>
      </c>
    </row>
    <row r="623" spans="1:13" s="114" customFormat="1">
      <c r="A623" s="107">
        <v>9420</v>
      </c>
      <c r="B623" s="107">
        <v>9440</v>
      </c>
      <c r="C623" s="107">
        <v>1357890</v>
      </c>
      <c r="D623" s="107">
        <v>1283140</v>
      </c>
      <c r="E623" s="107">
        <v>1121350</v>
      </c>
      <c r="F623" s="107">
        <v>1091350</v>
      </c>
      <c r="G623" s="107">
        <v>1061350</v>
      </c>
      <c r="H623" s="107">
        <v>1031350</v>
      </c>
      <c r="I623" s="107">
        <v>1001350</v>
      </c>
      <c r="J623" s="107">
        <v>971350</v>
      </c>
      <c r="K623" s="107">
        <v>941350</v>
      </c>
      <c r="L623" s="107">
        <v>911350</v>
      </c>
      <c r="M623" s="107">
        <v>881350</v>
      </c>
    </row>
    <row r="624" spans="1:13" s="114" customFormat="1">
      <c r="A624" s="107">
        <v>9440</v>
      </c>
      <c r="B624" s="107">
        <v>9460</v>
      </c>
      <c r="C624" s="107">
        <v>1364720</v>
      </c>
      <c r="D624" s="107">
        <v>1289840</v>
      </c>
      <c r="E624" s="107">
        <v>1125720</v>
      </c>
      <c r="F624" s="107">
        <v>1095720</v>
      </c>
      <c r="G624" s="107">
        <v>1065720</v>
      </c>
      <c r="H624" s="107">
        <v>1035720</v>
      </c>
      <c r="I624" s="107">
        <v>1005720</v>
      </c>
      <c r="J624" s="107">
        <v>975720</v>
      </c>
      <c r="K624" s="107">
        <v>945720</v>
      </c>
      <c r="L624" s="107">
        <v>915720</v>
      </c>
      <c r="M624" s="107">
        <v>885720</v>
      </c>
    </row>
    <row r="625" spans="1:13" s="114" customFormat="1">
      <c r="A625" s="107">
        <v>9460</v>
      </c>
      <c r="B625" s="107">
        <v>9480</v>
      </c>
      <c r="C625" s="107">
        <v>1371540</v>
      </c>
      <c r="D625" s="107">
        <v>1296630</v>
      </c>
      <c r="E625" s="107">
        <v>1130080</v>
      </c>
      <c r="F625" s="107">
        <v>1100080</v>
      </c>
      <c r="G625" s="107">
        <v>1070080</v>
      </c>
      <c r="H625" s="107">
        <v>1040080</v>
      </c>
      <c r="I625" s="107">
        <v>1010080</v>
      </c>
      <c r="J625" s="107">
        <v>980080</v>
      </c>
      <c r="K625" s="107">
        <v>950080</v>
      </c>
      <c r="L625" s="107">
        <v>920080</v>
      </c>
      <c r="M625" s="107">
        <v>890080</v>
      </c>
    </row>
    <row r="626" spans="1:13" s="114" customFormat="1">
      <c r="A626" s="107">
        <v>9480</v>
      </c>
      <c r="B626" s="107">
        <v>9500</v>
      </c>
      <c r="C626" s="107">
        <v>1378370</v>
      </c>
      <c r="D626" s="107">
        <v>1303420</v>
      </c>
      <c r="E626" s="107">
        <v>1134450</v>
      </c>
      <c r="F626" s="107">
        <v>1104450</v>
      </c>
      <c r="G626" s="107">
        <v>1074450</v>
      </c>
      <c r="H626" s="107">
        <v>1044450</v>
      </c>
      <c r="I626" s="107">
        <v>1014450</v>
      </c>
      <c r="J626" s="107">
        <v>984450</v>
      </c>
      <c r="K626" s="107">
        <v>954450</v>
      </c>
      <c r="L626" s="107">
        <v>924450</v>
      </c>
      <c r="M626" s="107">
        <v>894450</v>
      </c>
    </row>
    <row r="627" spans="1:13" s="114" customFormat="1">
      <c r="A627" s="107">
        <v>9500</v>
      </c>
      <c r="B627" s="107">
        <v>9520</v>
      </c>
      <c r="C627" s="107">
        <v>1385190</v>
      </c>
      <c r="D627" s="107">
        <v>1310210</v>
      </c>
      <c r="E627" s="107">
        <v>1138820</v>
      </c>
      <c r="F627" s="107">
        <v>1108820</v>
      </c>
      <c r="G627" s="107">
        <v>1078820</v>
      </c>
      <c r="H627" s="107">
        <v>1048820</v>
      </c>
      <c r="I627" s="107">
        <v>1018820</v>
      </c>
      <c r="J627" s="107">
        <v>988820</v>
      </c>
      <c r="K627" s="107">
        <v>958820</v>
      </c>
      <c r="L627" s="107">
        <v>928820</v>
      </c>
      <c r="M627" s="107">
        <v>898820</v>
      </c>
    </row>
    <row r="628" spans="1:13" s="114" customFormat="1">
      <c r="A628" s="107">
        <v>9520</v>
      </c>
      <c r="B628" s="107">
        <v>9540</v>
      </c>
      <c r="C628" s="107">
        <v>1392020</v>
      </c>
      <c r="D628" s="107">
        <v>1317000</v>
      </c>
      <c r="E628" s="107">
        <v>1143190</v>
      </c>
      <c r="F628" s="107">
        <v>1113190</v>
      </c>
      <c r="G628" s="107">
        <v>1083190</v>
      </c>
      <c r="H628" s="107">
        <v>1053190</v>
      </c>
      <c r="I628" s="107">
        <v>1023190</v>
      </c>
      <c r="J628" s="107">
        <v>993190</v>
      </c>
      <c r="K628" s="107">
        <v>963190</v>
      </c>
      <c r="L628" s="107">
        <v>933190</v>
      </c>
      <c r="M628" s="107">
        <v>903190</v>
      </c>
    </row>
    <row r="629" spans="1:13" s="114" customFormat="1">
      <c r="A629" s="107">
        <v>9540</v>
      </c>
      <c r="B629" s="107">
        <v>9560</v>
      </c>
      <c r="C629" s="107">
        <v>1398840</v>
      </c>
      <c r="D629" s="107">
        <v>1323790</v>
      </c>
      <c r="E629" s="107">
        <v>1147560</v>
      </c>
      <c r="F629" s="107">
        <v>1117560</v>
      </c>
      <c r="G629" s="107">
        <v>1087560</v>
      </c>
      <c r="H629" s="107">
        <v>1057560</v>
      </c>
      <c r="I629" s="107">
        <v>1027560</v>
      </c>
      <c r="J629" s="107">
        <v>997560</v>
      </c>
      <c r="K629" s="107">
        <v>967560</v>
      </c>
      <c r="L629" s="107">
        <v>937560</v>
      </c>
      <c r="M629" s="107">
        <v>907560</v>
      </c>
    </row>
    <row r="630" spans="1:13" s="114" customFormat="1">
      <c r="A630" s="107">
        <v>9560</v>
      </c>
      <c r="B630" s="107">
        <v>9580</v>
      </c>
      <c r="C630" s="107">
        <v>1405670</v>
      </c>
      <c r="D630" s="107">
        <v>1330580</v>
      </c>
      <c r="E630" s="107">
        <v>1151920</v>
      </c>
      <c r="F630" s="107">
        <v>1121920</v>
      </c>
      <c r="G630" s="107">
        <v>1091920</v>
      </c>
      <c r="H630" s="107">
        <v>1061920</v>
      </c>
      <c r="I630" s="107">
        <v>1031920</v>
      </c>
      <c r="J630" s="107">
        <v>1001920</v>
      </c>
      <c r="K630" s="107">
        <v>971920</v>
      </c>
      <c r="L630" s="107">
        <v>941920</v>
      </c>
      <c r="M630" s="107">
        <v>911920</v>
      </c>
    </row>
    <row r="631" spans="1:13" s="114" customFormat="1">
      <c r="A631" s="107">
        <v>9580</v>
      </c>
      <c r="B631" s="107">
        <v>9600</v>
      </c>
      <c r="C631" s="107">
        <v>1412490</v>
      </c>
      <c r="D631" s="107">
        <v>1337370</v>
      </c>
      <c r="E631" s="107">
        <v>1156290</v>
      </c>
      <c r="F631" s="107">
        <v>1126290</v>
      </c>
      <c r="G631" s="107">
        <v>1096290</v>
      </c>
      <c r="H631" s="107">
        <v>1066290</v>
      </c>
      <c r="I631" s="107">
        <v>1036290</v>
      </c>
      <c r="J631" s="107">
        <v>1006290</v>
      </c>
      <c r="K631" s="107">
        <v>976290</v>
      </c>
      <c r="L631" s="107">
        <v>946290</v>
      </c>
      <c r="M631" s="107">
        <v>916290</v>
      </c>
    </row>
    <row r="632" spans="1:13" s="114" customFormat="1">
      <c r="A632" s="107">
        <v>9600</v>
      </c>
      <c r="B632" s="107">
        <v>9620</v>
      </c>
      <c r="C632" s="107">
        <v>1419320</v>
      </c>
      <c r="D632" s="107">
        <v>1344160</v>
      </c>
      <c r="E632" s="107">
        <v>1160660</v>
      </c>
      <c r="F632" s="107">
        <v>1130660</v>
      </c>
      <c r="G632" s="107">
        <v>1100660</v>
      </c>
      <c r="H632" s="107">
        <v>1070660</v>
      </c>
      <c r="I632" s="107">
        <v>1040660</v>
      </c>
      <c r="J632" s="107">
        <v>1010660</v>
      </c>
      <c r="K632" s="107">
        <v>980660</v>
      </c>
      <c r="L632" s="107">
        <v>950660</v>
      </c>
      <c r="M632" s="107">
        <v>920660</v>
      </c>
    </row>
    <row r="633" spans="1:13" s="114" customFormat="1">
      <c r="A633" s="107">
        <v>9620</v>
      </c>
      <c r="B633" s="107">
        <v>9640</v>
      </c>
      <c r="C633" s="107">
        <v>1426140</v>
      </c>
      <c r="D633" s="107">
        <v>1350950</v>
      </c>
      <c r="E633" s="107">
        <v>1165030</v>
      </c>
      <c r="F633" s="107">
        <v>1135030</v>
      </c>
      <c r="G633" s="107">
        <v>1105030</v>
      </c>
      <c r="H633" s="107">
        <v>1075030</v>
      </c>
      <c r="I633" s="107">
        <v>1045030</v>
      </c>
      <c r="J633" s="107">
        <v>1015030</v>
      </c>
      <c r="K633" s="107">
        <v>985030</v>
      </c>
      <c r="L633" s="107">
        <v>955030</v>
      </c>
      <c r="M633" s="107">
        <v>925030</v>
      </c>
    </row>
    <row r="634" spans="1:13" s="114" customFormat="1">
      <c r="A634" s="107">
        <v>9640</v>
      </c>
      <c r="B634" s="107">
        <v>9660</v>
      </c>
      <c r="C634" s="107">
        <v>1432970</v>
      </c>
      <c r="D634" s="107">
        <v>1357740</v>
      </c>
      <c r="E634" s="107">
        <v>1169400</v>
      </c>
      <c r="F634" s="107">
        <v>1139400</v>
      </c>
      <c r="G634" s="107">
        <v>1109400</v>
      </c>
      <c r="H634" s="107">
        <v>1079400</v>
      </c>
      <c r="I634" s="107">
        <v>1049400</v>
      </c>
      <c r="J634" s="107">
        <v>1019400</v>
      </c>
      <c r="K634" s="107">
        <v>989400</v>
      </c>
      <c r="L634" s="107">
        <v>959400</v>
      </c>
      <c r="M634" s="107">
        <v>929400</v>
      </c>
    </row>
    <row r="635" spans="1:13" s="114" customFormat="1">
      <c r="A635" s="107">
        <v>9660</v>
      </c>
      <c r="B635" s="107">
        <v>9680</v>
      </c>
      <c r="C635" s="107">
        <v>1439790</v>
      </c>
      <c r="D635" s="107">
        <v>1364530</v>
      </c>
      <c r="E635" s="107">
        <v>1173760</v>
      </c>
      <c r="F635" s="107">
        <v>1143760</v>
      </c>
      <c r="G635" s="107">
        <v>1113760</v>
      </c>
      <c r="H635" s="107">
        <v>1083760</v>
      </c>
      <c r="I635" s="107">
        <v>1053760</v>
      </c>
      <c r="J635" s="107">
        <v>1023760</v>
      </c>
      <c r="K635" s="107">
        <v>993760</v>
      </c>
      <c r="L635" s="107">
        <v>963760</v>
      </c>
      <c r="M635" s="107">
        <v>933760</v>
      </c>
    </row>
    <row r="636" spans="1:13" s="114" customFormat="1">
      <c r="A636" s="107">
        <v>9680</v>
      </c>
      <c r="B636" s="107">
        <v>9700</v>
      </c>
      <c r="C636" s="107">
        <v>1446620</v>
      </c>
      <c r="D636" s="107">
        <v>1371320</v>
      </c>
      <c r="E636" s="107">
        <v>1178130</v>
      </c>
      <c r="F636" s="107">
        <v>1148130</v>
      </c>
      <c r="G636" s="107">
        <v>1118130</v>
      </c>
      <c r="H636" s="107">
        <v>1088130</v>
      </c>
      <c r="I636" s="107">
        <v>1058130</v>
      </c>
      <c r="J636" s="107">
        <v>1028130</v>
      </c>
      <c r="K636" s="107">
        <v>998130</v>
      </c>
      <c r="L636" s="107">
        <v>968130</v>
      </c>
      <c r="M636" s="107">
        <v>938130</v>
      </c>
    </row>
    <row r="637" spans="1:13" s="114" customFormat="1">
      <c r="A637" s="107">
        <v>9700</v>
      </c>
      <c r="B637" s="107">
        <v>9720</v>
      </c>
      <c r="C637" s="107">
        <v>1453440</v>
      </c>
      <c r="D637" s="107">
        <v>1378110</v>
      </c>
      <c r="E637" s="107">
        <v>1182500</v>
      </c>
      <c r="F637" s="107">
        <v>1152500</v>
      </c>
      <c r="G637" s="107">
        <v>1122500</v>
      </c>
      <c r="H637" s="107">
        <v>1092500</v>
      </c>
      <c r="I637" s="107">
        <v>1062500</v>
      </c>
      <c r="J637" s="107">
        <v>1032500</v>
      </c>
      <c r="K637" s="107">
        <v>1002500</v>
      </c>
      <c r="L637" s="107">
        <v>972500</v>
      </c>
      <c r="M637" s="107">
        <v>942500</v>
      </c>
    </row>
    <row r="638" spans="1:13" s="114" customFormat="1">
      <c r="A638" s="107">
        <v>9720</v>
      </c>
      <c r="B638" s="107">
        <v>9740</v>
      </c>
      <c r="C638" s="107">
        <v>1460270</v>
      </c>
      <c r="D638" s="107">
        <v>1384900</v>
      </c>
      <c r="E638" s="107">
        <v>1186870</v>
      </c>
      <c r="F638" s="107">
        <v>1156870</v>
      </c>
      <c r="G638" s="107">
        <v>1126870</v>
      </c>
      <c r="H638" s="107">
        <v>1096870</v>
      </c>
      <c r="I638" s="107">
        <v>1066870</v>
      </c>
      <c r="J638" s="107">
        <v>1036870</v>
      </c>
      <c r="K638" s="107">
        <v>1006870</v>
      </c>
      <c r="L638" s="107">
        <v>976870</v>
      </c>
      <c r="M638" s="107">
        <v>946870</v>
      </c>
    </row>
    <row r="639" spans="1:13" s="114" customFormat="1">
      <c r="A639" s="107">
        <v>9740</v>
      </c>
      <c r="B639" s="107">
        <v>9760</v>
      </c>
      <c r="C639" s="107">
        <v>1467090</v>
      </c>
      <c r="D639" s="107">
        <v>1391690</v>
      </c>
      <c r="E639" s="107">
        <v>1191240</v>
      </c>
      <c r="F639" s="107">
        <v>1161240</v>
      </c>
      <c r="G639" s="107">
        <v>1131240</v>
      </c>
      <c r="H639" s="107">
        <v>1101240</v>
      </c>
      <c r="I639" s="107">
        <v>1071240</v>
      </c>
      <c r="J639" s="107">
        <v>1041240</v>
      </c>
      <c r="K639" s="107">
        <v>1011240</v>
      </c>
      <c r="L639" s="107">
        <v>981240</v>
      </c>
      <c r="M639" s="107">
        <v>951240</v>
      </c>
    </row>
    <row r="640" spans="1:13" s="114" customFormat="1">
      <c r="A640" s="107">
        <v>9760</v>
      </c>
      <c r="B640" s="107">
        <v>9780</v>
      </c>
      <c r="C640" s="107">
        <v>1473920</v>
      </c>
      <c r="D640" s="107">
        <v>1398480</v>
      </c>
      <c r="E640" s="107">
        <v>1195600</v>
      </c>
      <c r="F640" s="107">
        <v>1165600</v>
      </c>
      <c r="G640" s="107">
        <v>1135600</v>
      </c>
      <c r="H640" s="107">
        <v>1105600</v>
      </c>
      <c r="I640" s="107">
        <v>1075600</v>
      </c>
      <c r="J640" s="107">
        <v>1045600</v>
      </c>
      <c r="K640" s="107">
        <v>1015600</v>
      </c>
      <c r="L640" s="107">
        <v>985600</v>
      </c>
      <c r="M640" s="107">
        <v>955600</v>
      </c>
    </row>
    <row r="641" spans="1:13" s="114" customFormat="1">
      <c r="A641" s="107">
        <v>9780</v>
      </c>
      <c r="B641" s="107">
        <v>9800</v>
      </c>
      <c r="C641" s="107">
        <v>1480740</v>
      </c>
      <c r="D641" s="107">
        <v>1405270</v>
      </c>
      <c r="E641" s="107">
        <v>1199970</v>
      </c>
      <c r="F641" s="107">
        <v>1169970</v>
      </c>
      <c r="G641" s="107">
        <v>1139970</v>
      </c>
      <c r="H641" s="107">
        <v>1109970</v>
      </c>
      <c r="I641" s="107">
        <v>1079970</v>
      </c>
      <c r="J641" s="107">
        <v>1049970</v>
      </c>
      <c r="K641" s="107">
        <v>1019970</v>
      </c>
      <c r="L641" s="107">
        <v>989970</v>
      </c>
      <c r="M641" s="107">
        <v>959970</v>
      </c>
    </row>
    <row r="642" spans="1:13" s="114" customFormat="1">
      <c r="A642" s="107">
        <v>9800</v>
      </c>
      <c r="B642" s="107">
        <v>9820</v>
      </c>
      <c r="C642" s="107">
        <v>1487570</v>
      </c>
      <c r="D642" s="107">
        <v>1412060</v>
      </c>
      <c r="E642" s="107">
        <v>1204340</v>
      </c>
      <c r="F642" s="107">
        <v>1174340</v>
      </c>
      <c r="G642" s="107">
        <v>1144340</v>
      </c>
      <c r="H642" s="107">
        <v>1114340</v>
      </c>
      <c r="I642" s="107">
        <v>1084340</v>
      </c>
      <c r="J642" s="107">
        <v>1054340</v>
      </c>
      <c r="K642" s="107">
        <v>1024340</v>
      </c>
      <c r="L642" s="107">
        <v>994340</v>
      </c>
      <c r="M642" s="107">
        <v>964340</v>
      </c>
    </row>
    <row r="643" spans="1:13" s="114" customFormat="1">
      <c r="A643" s="107">
        <v>9820</v>
      </c>
      <c r="B643" s="107">
        <v>9840</v>
      </c>
      <c r="C643" s="107">
        <v>1494390</v>
      </c>
      <c r="D643" s="107">
        <v>1418850</v>
      </c>
      <c r="E643" s="107">
        <v>1208710</v>
      </c>
      <c r="F643" s="107">
        <v>1178710</v>
      </c>
      <c r="G643" s="107">
        <v>1148710</v>
      </c>
      <c r="H643" s="107">
        <v>1118710</v>
      </c>
      <c r="I643" s="107">
        <v>1088710</v>
      </c>
      <c r="J643" s="107">
        <v>1058710</v>
      </c>
      <c r="K643" s="107">
        <v>1028710</v>
      </c>
      <c r="L643" s="107">
        <v>998710</v>
      </c>
      <c r="M643" s="107">
        <v>968710</v>
      </c>
    </row>
    <row r="644" spans="1:13" s="114" customFormat="1">
      <c r="A644" s="107">
        <v>9840</v>
      </c>
      <c r="B644" s="107">
        <v>9860</v>
      </c>
      <c r="C644" s="107">
        <v>1501220</v>
      </c>
      <c r="D644" s="107">
        <v>1425640</v>
      </c>
      <c r="E644" s="107">
        <v>1213080</v>
      </c>
      <c r="F644" s="107">
        <v>1183080</v>
      </c>
      <c r="G644" s="107">
        <v>1153080</v>
      </c>
      <c r="H644" s="107">
        <v>1123080</v>
      </c>
      <c r="I644" s="107">
        <v>1093080</v>
      </c>
      <c r="J644" s="107">
        <v>1063080</v>
      </c>
      <c r="K644" s="107">
        <v>1033080</v>
      </c>
      <c r="L644" s="107">
        <v>1003080</v>
      </c>
      <c r="M644" s="107">
        <v>973080</v>
      </c>
    </row>
    <row r="645" spans="1:13" s="114" customFormat="1">
      <c r="A645" s="107">
        <v>9860</v>
      </c>
      <c r="B645" s="107">
        <v>9880</v>
      </c>
      <c r="C645" s="107">
        <v>1508040</v>
      </c>
      <c r="D645" s="107">
        <v>1432430</v>
      </c>
      <c r="E645" s="107">
        <v>1217440</v>
      </c>
      <c r="F645" s="107">
        <v>1187440</v>
      </c>
      <c r="G645" s="107">
        <v>1157440</v>
      </c>
      <c r="H645" s="107">
        <v>1127440</v>
      </c>
      <c r="I645" s="107">
        <v>1097440</v>
      </c>
      <c r="J645" s="107">
        <v>1067440</v>
      </c>
      <c r="K645" s="107">
        <v>1037440</v>
      </c>
      <c r="L645" s="107">
        <v>1007440</v>
      </c>
      <c r="M645" s="107">
        <v>977440</v>
      </c>
    </row>
    <row r="646" spans="1:13" s="114" customFormat="1">
      <c r="A646" s="107">
        <v>9880</v>
      </c>
      <c r="B646" s="107">
        <v>9900</v>
      </c>
      <c r="C646" s="107">
        <v>1514870</v>
      </c>
      <c r="D646" s="107">
        <v>1439220</v>
      </c>
      <c r="E646" s="107">
        <v>1221810</v>
      </c>
      <c r="F646" s="107">
        <v>1191810</v>
      </c>
      <c r="G646" s="107">
        <v>1161810</v>
      </c>
      <c r="H646" s="107">
        <v>1131810</v>
      </c>
      <c r="I646" s="107">
        <v>1101810</v>
      </c>
      <c r="J646" s="107">
        <v>1071810</v>
      </c>
      <c r="K646" s="107">
        <v>1041810</v>
      </c>
      <c r="L646" s="107">
        <v>1011810</v>
      </c>
      <c r="M646" s="107">
        <v>981810</v>
      </c>
    </row>
    <row r="647" spans="1:13" s="114" customFormat="1">
      <c r="A647" s="107">
        <v>9900</v>
      </c>
      <c r="B647" s="107">
        <v>9920</v>
      </c>
      <c r="C647" s="107">
        <v>1521690</v>
      </c>
      <c r="D647" s="107">
        <v>1446010</v>
      </c>
      <c r="E647" s="107">
        <v>1226180</v>
      </c>
      <c r="F647" s="107">
        <v>1196180</v>
      </c>
      <c r="G647" s="107">
        <v>1166180</v>
      </c>
      <c r="H647" s="107">
        <v>1136180</v>
      </c>
      <c r="I647" s="107">
        <v>1106180</v>
      </c>
      <c r="J647" s="107">
        <v>1076180</v>
      </c>
      <c r="K647" s="107">
        <v>1046180</v>
      </c>
      <c r="L647" s="107">
        <v>1016180</v>
      </c>
      <c r="M647" s="107">
        <v>986180</v>
      </c>
    </row>
    <row r="648" spans="1:13" s="114" customFormat="1">
      <c r="A648" s="107">
        <v>9920</v>
      </c>
      <c r="B648" s="107">
        <v>9940</v>
      </c>
      <c r="C648" s="107">
        <v>1528520</v>
      </c>
      <c r="D648" s="107">
        <v>1452800</v>
      </c>
      <c r="E648" s="107">
        <v>1230550</v>
      </c>
      <c r="F648" s="107">
        <v>1200550</v>
      </c>
      <c r="G648" s="107">
        <v>1170550</v>
      </c>
      <c r="H648" s="107">
        <v>1140550</v>
      </c>
      <c r="I648" s="107">
        <v>1110550</v>
      </c>
      <c r="J648" s="107">
        <v>1080550</v>
      </c>
      <c r="K648" s="107">
        <v>1050550</v>
      </c>
      <c r="L648" s="107">
        <v>1020550</v>
      </c>
      <c r="M648" s="107">
        <v>990550</v>
      </c>
    </row>
    <row r="649" spans="1:13" s="114" customFormat="1">
      <c r="A649" s="107">
        <v>9940</v>
      </c>
      <c r="B649" s="107">
        <v>9960</v>
      </c>
      <c r="C649" s="107">
        <v>1535340</v>
      </c>
      <c r="D649" s="107">
        <v>1459590</v>
      </c>
      <c r="E649" s="107">
        <v>1234920</v>
      </c>
      <c r="F649" s="107">
        <v>1204920</v>
      </c>
      <c r="G649" s="107">
        <v>1174920</v>
      </c>
      <c r="H649" s="107">
        <v>1144920</v>
      </c>
      <c r="I649" s="107">
        <v>1114920</v>
      </c>
      <c r="J649" s="107">
        <v>1084920</v>
      </c>
      <c r="K649" s="107">
        <v>1054920</v>
      </c>
      <c r="L649" s="107">
        <v>1024920</v>
      </c>
      <c r="M649" s="107">
        <v>994920</v>
      </c>
    </row>
    <row r="650" spans="1:13" s="114" customFormat="1">
      <c r="A650" s="107">
        <v>9960</v>
      </c>
      <c r="B650" s="107">
        <v>9980</v>
      </c>
      <c r="C650" s="107">
        <v>1542170</v>
      </c>
      <c r="D650" s="107">
        <v>1466380</v>
      </c>
      <c r="E650" s="107">
        <v>1239280</v>
      </c>
      <c r="F650" s="107">
        <v>1209280</v>
      </c>
      <c r="G650" s="107">
        <v>1179280</v>
      </c>
      <c r="H650" s="107">
        <v>1149280</v>
      </c>
      <c r="I650" s="107">
        <v>1119280</v>
      </c>
      <c r="J650" s="107">
        <v>1089280</v>
      </c>
      <c r="K650" s="107">
        <v>1059280</v>
      </c>
      <c r="L650" s="107">
        <v>1029280</v>
      </c>
      <c r="M650" s="107">
        <v>999280</v>
      </c>
    </row>
    <row r="651" spans="1:13" s="114" customFormat="1">
      <c r="A651" s="107">
        <v>9980</v>
      </c>
      <c r="B651" s="107">
        <v>10000</v>
      </c>
      <c r="C651" s="107">
        <v>1548990</v>
      </c>
      <c r="D651" s="107">
        <v>1473170</v>
      </c>
      <c r="E651" s="107">
        <v>1243650</v>
      </c>
      <c r="F651" s="107">
        <v>1213650</v>
      </c>
      <c r="G651" s="107">
        <v>1183650</v>
      </c>
      <c r="H651" s="107">
        <v>1153650</v>
      </c>
      <c r="I651" s="107">
        <v>1123650</v>
      </c>
      <c r="J651" s="107">
        <v>1093650</v>
      </c>
      <c r="K651" s="107">
        <v>1063650</v>
      </c>
      <c r="L651" s="107">
        <v>1033650</v>
      </c>
      <c r="M651" s="107">
        <v>1003650</v>
      </c>
    </row>
    <row r="652" spans="1:13" s="114" customFormat="1" ht="16.5" customHeight="1">
      <c r="A652" s="107">
        <v>10000</v>
      </c>
      <c r="B652" s="107">
        <v>10000</v>
      </c>
      <c r="C652" s="107">
        <v>1552400</v>
      </c>
      <c r="D652" s="107">
        <v>1476570</v>
      </c>
      <c r="E652" s="107">
        <v>1245840</v>
      </c>
      <c r="F652" s="107">
        <v>1215840</v>
      </c>
      <c r="G652" s="107">
        <v>1185840</v>
      </c>
      <c r="H652" s="107">
        <v>1155840</v>
      </c>
      <c r="I652" s="107">
        <v>1125840</v>
      </c>
      <c r="J652" s="107">
        <v>1095840</v>
      </c>
      <c r="K652" s="107">
        <v>1065840</v>
      </c>
      <c r="L652" s="107">
        <v>1035840</v>
      </c>
      <c r="M652" s="107">
        <v>1005840</v>
      </c>
    </row>
    <row r="653" spans="1:13" s="114" customFormat="1" ht="16.5" customHeight="1">
      <c r="A653" s="1006" t="s">
        <v>28</v>
      </c>
      <c r="B653" s="1006"/>
      <c r="C653" s="1018" t="s">
        <v>129</v>
      </c>
      <c r="D653" s="1018"/>
      <c r="E653" s="1018"/>
      <c r="F653" s="1018"/>
      <c r="G653" s="1018"/>
      <c r="H653" s="1018"/>
      <c r="I653" s="1018"/>
      <c r="J653" s="1018"/>
      <c r="K653" s="1018"/>
      <c r="L653" s="1018"/>
      <c r="M653" s="1018"/>
    </row>
    <row r="654" spans="1:13" s="114" customFormat="1" ht="16.5" customHeight="1">
      <c r="A654" s="1013" t="s">
        <v>29</v>
      </c>
      <c r="B654" s="1013"/>
      <c r="C654" s="1018"/>
      <c r="D654" s="1018"/>
      <c r="E654" s="1018"/>
      <c r="F654" s="1018"/>
      <c r="G654" s="1018"/>
      <c r="H654" s="1018"/>
      <c r="I654" s="1018"/>
      <c r="J654" s="1018"/>
      <c r="K654" s="1018"/>
      <c r="L654" s="1018"/>
      <c r="M654" s="1018"/>
    </row>
    <row r="655" spans="1:13" s="114" customFormat="1" ht="16.5" customHeight="1">
      <c r="A655" s="1006" t="s">
        <v>2</v>
      </c>
      <c r="B655" s="1006"/>
      <c r="C655" s="1018" t="s">
        <v>130</v>
      </c>
      <c r="D655" s="1018"/>
      <c r="E655" s="1018"/>
      <c r="F655" s="1018"/>
      <c r="G655" s="1018"/>
      <c r="H655" s="1018"/>
      <c r="I655" s="1018"/>
      <c r="J655" s="1018"/>
      <c r="K655" s="1018"/>
      <c r="L655" s="1018"/>
      <c r="M655" s="1018"/>
    </row>
    <row r="656" spans="1:13" s="114" customFormat="1">
      <c r="A656" s="1013" t="s">
        <v>83</v>
      </c>
      <c r="B656" s="1013"/>
      <c r="C656" s="1018"/>
      <c r="D656" s="1018"/>
      <c r="E656" s="1018"/>
      <c r="F656" s="1018"/>
      <c r="G656" s="1018"/>
      <c r="H656" s="1018"/>
      <c r="I656" s="1018"/>
      <c r="J656" s="1018"/>
      <c r="K656" s="1018"/>
      <c r="L656" s="1018"/>
      <c r="M656" s="1018"/>
    </row>
    <row r="657" spans="1:16" s="114" customFormat="1" ht="36" customHeight="1">
      <c r="A657" s="1006" t="s">
        <v>131</v>
      </c>
      <c r="B657" s="1006"/>
      <c r="C657" s="1018" t="s">
        <v>132</v>
      </c>
      <c r="D657" s="1018"/>
      <c r="E657" s="1018"/>
      <c r="F657" s="1018"/>
      <c r="G657" s="1018"/>
      <c r="H657" s="1018"/>
      <c r="I657" s="1018"/>
      <c r="J657" s="1018"/>
      <c r="K657" s="1018"/>
      <c r="L657" s="1018"/>
      <c r="M657" s="1018"/>
      <c r="P657" s="114">
        <f>(2800000*98%)*35%+1552400</f>
        <v>2512800</v>
      </c>
    </row>
    <row r="658" spans="1:16" s="114" customFormat="1">
      <c r="A658" s="1013" t="s">
        <v>133</v>
      </c>
      <c r="B658" s="1013"/>
      <c r="C658" s="1018"/>
      <c r="D658" s="1018"/>
      <c r="E658" s="1018"/>
      <c r="F658" s="1018"/>
      <c r="G658" s="1018"/>
      <c r="H658" s="1018"/>
      <c r="I658" s="1018"/>
      <c r="J658" s="1018"/>
      <c r="K658" s="1018"/>
      <c r="L658" s="1018"/>
      <c r="M658" s="1018"/>
    </row>
    <row r="659" spans="1:16" s="114" customFormat="1">
      <c r="A659" s="1006" t="s">
        <v>134</v>
      </c>
      <c r="B659" s="1006"/>
      <c r="C659" s="1018" t="s">
        <v>135</v>
      </c>
      <c r="D659" s="1018"/>
      <c r="E659" s="1018"/>
      <c r="F659" s="1018"/>
      <c r="G659" s="1018"/>
      <c r="H659" s="1018"/>
      <c r="I659" s="1018"/>
      <c r="J659" s="1018"/>
      <c r="K659" s="1018"/>
      <c r="L659" s="1018"/>
      <c r="M659" s="1018"/>
    </row>
    <row r="660" spans="1:16" s="114" customFormat="1">
      <c r="A660" s="1013" t="s">
        <v>84</v>
      </c>
      <c r="B660" s="1013"/>
      <c r="C660" s="1018"/>
      <c r="D660" s="1018"/>
      <c r="E660" s="1018"/>
      <c r="F660" s="1018"/>
      <c r="G660" s="1018"/>
      <c r="H660" s="1018"/>
      <c r="I660" s="1018"/>
      <c r="J660" s="1018"/>
      <c r="K660" s="1018"/>
      <c r="L660" s="1018"/>
      <c r="M660" s="1018"/>
    </row>
    <row r="661" spans="1:16" s="114" customFormat="1">
      <c r="A661" s="1006" t="s">
        <v>136</v>
      </c>
      <c r="B661" s="1006"/>
      <c r="C661" s="1007" t="s">
        <v>137</v>
      </c>
      <c r="D661" s="1008"/>
      <c r="E661" s="1008"/>
      <c r="F661" s="1008"/>
      <c r="G661" s="1008"/>
      <c r="H661" s="1008"/>
      <c r="I661" s="1008"/>
      <c r="J661" s="1008"/>
      <c r="K661" s="1008"/>
      <c r="L661" s="1008"/>
      <c r="M661" s="1009"/>
    </row>
    <row r="662" spans="1:16" s="114" customFormat="1">
      <c r="A662" s="1013" t="s">
        <v>138</v>
      </c>
      <c r="B662" s="1013"/>
      <c r="C662" s="1010"/>
      <c r="D662" s="1011"/>
      <c r="E662" s="1011"/>
      <c r="F662" s="1011"/>
      <c r="G662" s="1011"/>
      <c r="H662" s="1011"/>
      <c r="I662" s="1011"/>
      <c r="J662" s="1011"/>
      <c r="K662" s="1011"/>
      <c r="L662" s="1011"/>
      <c r="M662" s="1012"/>
    </row>
    <row r="663" spans="1:16" s="114" customFormat="1">
      <c r="A663" s="1006" t="s">
        <v>139</v>
      </c>
      <c r="B663" s="1006"/>
      <c r="C663" s="1007" t="s">
        <v>140</v>
      </c>
      <c r="D663" s="1008"/>
      <c r="E663" s="1008"/>
      <c r="F663" s="1008"/>
      <c r="G663" s="1008"/>
      <c r="H663" s="1008"/>
      <c r="I663" s="1008"/>
      <c r="J663" s="1008"/>
      <c r="K663" s="1008"/>
      <c r="L663" s="1008"/>
      <c r="M663" s="1009"/>
    </row>
    <row r="664" spans="1:16" s="114" customFormat="1">
      <c r="A664" s="115"/>
      <c r="B664" s="115"/>
    </row>
  </sheetData>
  <mergeCells count="20">
    <mergeCell ref="A1:M3"/>
    <mergeCell ref="A659:B659"/>
    <mergeCell ref="A657:B657"/>
    <mergeCell ref="C653:M654"/>
    <mergeCell ref="A654:B654"/>
    <mergeCell ref="C657:M658"/>
    <mergeCell ref="A658:B658"/>
    <mergeCell ref="C659:M660"/>
    <mergeCell ref="A660:B660"/>
    <mergeCell ref="A655:B655"/>
    <mergeCell ref="A4:B4"/>
    <mergeCell ref="C4:M4"/>
    <mergeCell ref="A653:B653"/>
    <mergeCell ref="C655:M656"/>
    <mergeCell ref="A656:B656"/>
    <mergeCell ref="A661:B661"/>
    <mergeCell ref="C661:M662"/>
    <mergeCell ref="A662:B662"/>
    <mergeCell ref="A663:B663"/>
    <mergeCell ref="C663:M663"/>
  </mergeCells>
  <phoneticPr fontId="1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9</vt:i4>
      </vt:variant>
    </vt:vector>
  </HeadingPairs>
  <TitlesOfParts>
    <vt:vector size="17" baseType="lpstr">
      <vt:lpstr>표지</vt:lpstr>
      <vt:lpstr>출근대장</vt:lpstr>
      <vt:lpstr>근로계약서</vt:lpstr>
      <vt:lpstr>근로계약서(일급제)</vt:lpstr>
      <vt:lpstr>근로계약서(시급제)</vt:lpstr>
      <vt:lpstr>급여명세서(시급제)</vt:lpstr>
      <vt:lpstr>일용직 신고대장</vt:lpstr>
      <vt:lpstr>간이세액표</vt:lpstr>
      <vt:lpstr>근로계약서!Print_Area</vt:lpstr>
      <vt:lpstr>'근로계약서(시급제)'!Print_Area</vt:lpstr>
      <vt:lpstr>'근로계약서(일급제)'!Print_Area</vt:lpstr>
      <vt:lpstr>'급여명세서(시급제)'!Print_Area</vt:lpstr>
      <vt:lpstr>'일용직 신고대장'!Print_Area</vt:lpstr>
      <vt:lpstr>출근대장!Print_Area</vt:lpstr>
      <vt:lpstr>표지!Print_Area</vt:lpstr>
      <vt:lpstr>'일용직 신고대장'!Print_Titles</vt:lpstr>
      <vt:lpstr>출근대장!Print_Titles</vt:lpstr>
    </vt:vector>
  </TitlesOfParts>
  <Company>현주컴퓨터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현주</dc:creator>
  <cp:lastModifiedBy>cherry_palette@naver.com</cp:lastModifiedBy>
  <cp:lastPrinted>2023-01-20T05:15:49Z</cp:lastPrinted>
  <dcterms:created xsi:type="dcterms:W3CDTF">2002-11-01T06:15:45Z</dcterms:created>
  <dcterms:modified xsi:type="dcterms:W3CDTF">2024-10-23T06:08:06Z</dcterms:modified>
</cp:coreProperties>
</file>